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we Flock Budget Directions" sheetId="1" r:id="rId4"/>
    <sheet state="visible" name="Ewe Flock Budget" sheetId="2" r:id="rId5"/>
    <sheet state="visible" name="DrylotLamb Finishing Directions" sheetId="3" r:id="rId6"/>
    <sheet state="visible" name="Drylot Lamb Finishing Budget" sheetId="4" r:id="rId7"/>
    <sheet state="visible" name="Drylot Lamb Finishing Feed Cost" sheetId="5" r:id="rId8"/>
    <sheet state="visible" name="Pasture Lamb Finishing Directio" sheetId="6" r:id="rId9"/>
    <sheet state="visible" name="Pasture Lamb Finishing Budget" sheetId="7" r:id="rId10"/>
    <sheet state="visible" name="Pasture Lamb Finish Feed Cost" sheetId="8" r:id="rId11"/>
  </sheets>
  <definedNames/>
  <calcPr/>
  <extLst>
    <ext uri="GoogleSheetsCustomDataVersion2">
      <go:sheetsCustomData xmlns:go="http://customooxmlschemas.google.com/" r:id="rId12" roundtripDataChecksum="OU0/ANbGYa4PTiAEHspFAuKdMcXK0dKdP3n0VBBj9GA="/>
    </ext>
  </extLst>
</workbook>
</file>

<file path=xl/sharedStrings.xml><?xml version="1.0" encoding="utf-8"?>
<sst xmlns="http://schemas.openxmlformats.org/spreadsheetml/2006/main" count="782" uniqueCount="453">
  <si>
    <t>UW Extension Sheep Operation Enterprise Budget version 1.1</t>
  </si>
  <si>
    <t>Directions</t>
  </si>
  <si>
    <t>This Enterprise Budget is intended to be a practical approach for producers to evaluate profitability of their ewe flock enterprise. It may also be used to assist with estimating projections for future years or changes to the enterprise.</t>
  </si>
  <si>
    <t>The cells that are light blue in color can be edited by the user. Cells that are yellow, pink and peach in color are calculated from user inputs and cannot be edited by the user. The enterprise budget calculates revenue and expenses on a whole enterprise, per ewe, and per hundred weight of feeder lambs sold basis.</t>
  </si>
  <si>
    <t>The accuracy of the information generated is only as good and the information entered to calculate it.</t>
  </si>
  <si>
    <t>If you encounter any problems with the spreadsheet contact Carolyn Ihde at carolyn.ihde@wisc.edu, Amanda Cauffman at amanda.cauffman@wisc.edu. Bill Halfman at william.halfman@wisc.edu, Dr. Brenda Boetel at brenda.boetel@uwrf.edu. The following directions will go through each section of the spreadsheet and provide some guidelines and explanation for what to enter.</t>
  </si>
  <si>
    <t>Costs of production and breakeven can be calculated using two different methods in this spreadsheet: Enterprise Budget Method and Cash Flow Method.</t>
  </si>
  <si>
    <t>Enterprise budget method includes the following expenses: depreciation, pro-rated purchased breeding stock expenses, cash expenses (except cash purchased overhead items), all opportunity cost. It does not include intermediate and long term debt principal payments.</t>
  </si>
  <si>
    <t>Cashflow budget method includes the following expenses: cash expenses (including breeding stock and capital purchases made with cash on hand in that production year), home grown feed costs, principal payments, It does NOT include depreciation, and opportunity costs on overhead.</t>
  </si>
  <si>
    <t>The Enterprise Budget Method is for Planning/Estimating revenues, costs, and profits for a single enterprise. The enterprise budget method allows an examination of the profitability of that particular enterprise within the context of the overall business.</t>
  </si>
  <si>
    <t>The cash flow method is a planning document for cash management that shows projected/planned cash incomes and expenses (it is not a measure of profitability). It is basically telling you if the income in one production cycle will pay for the cash expenses of that production cycle.</t>
  </si>
  <si>
    <t>Sheep numbers and values</t>
  </si>
  <si>
    <t>At the top of the spreadsheet enter in the number of ewes owned at the beginning of this annual cycle that should lamb during this cycle. This is used to calculate out the budget on a per ewe basis and used to calculate opportunity cost of owning the ewes.</t>
  </si>
  <si>
    <t>Revenue</t>
  </si>
  <si>
    <t>The FLOCK BUDGET is based on the premise that the sheep operation is selling the majority of the lambs as feeder lambs.</t>
  </si>
  <si>
    <t>Enter in the total revenue from the sale of cull ewes and rams, due to variability in prices and timing of sales, a total entry for them is easier to track.</t>
  </si>
  <si>
    <t>The Other Livestock Sales can be used to account for any breeding stock sold, or any animals sold directly to consumers to eat, presuming those are a small percentage of animals sold. Make sure to include the costs of raising the Other Livestock Sales animals in the expenses sections.</t>
  </si>
  <si>
    <t>Expenses</t>
  </si>
  <si>
    <t>General Instructions: enter items used throughout the year, quantity used, purchase price, or fair market value if homegrown. Some may be regularly occurring expenses, such as feed. Also consider infrequent expenses you may have such as ear tags, pasture seeding, etc.</t>
  </si>
  <si>
    <t>Home Grown Feed</t>
  </si>
  <si>
    <t>This budget tool is set up to evaluate the ewe enterprise.</t>
  </si>
  <si>
    <t>We suggest that users use one of two options to determine a value for home grown feed. We also suggest sticking to one method for home grown feeds, not mix the two.</t>
  </si>
  <si>
    <t>Option 1. Use a reasonable fair market value that it could be sold for. This provides an opportunity cost for the home grown feed. This will be the simplest method.</t>
  </si>
  <si>
    <t>Option 2. Determine a cost of production for the home grown feed using a budgeting tool similar to this spreadsheet, but designed to calculate costs of production for crops. UW Extension and other University Extensions do have these type of spreadsheets available. We did not included crops cost of production tools in this spreadsheet as it would become larger and we want to keep in central to just the ewe enterprise rather than a whole farm or multiple enterprise tool.</t>
  </si>
  <si>
    <t>The User can change feedstuffs and units as they best fit their operation. For example if they would rather determine hay usage in bales rather than tons, and have a market value on a per bale basis, it can be entered as such.</t>
  </si>
  <si>
    <t>Purchased Feed</t>
  </si>
  <si>
    <t>Purchased feed quantities and costs should be easily obtained from records from suppliers and payments made.</t>
  </si>
  <si>
    <t>Be cautious to not include any pre-purchased feed that may be on hand for use in the next year.</t>
  </si>
  <si>
    <t>If there are multiple livestock enterprises on the farm it may be necessary to sort through records to only include those used for the ewe enterprise.</t>
  </si>
  <si>
    <t>Bedding</t>
  </si>
  <si>
    <t>Purchased price can be used for purchased bedding.</t>
  </si>
  <si>
    <t>Market value can be used for home harvested bedding. When using opportunity cost, do not count harvest machinery costs, those should be accounted for in market value of the bedding, and would result in double counting of the costs.</t>
  </si>
  <si>
    <t>Useful links</t>
  </si>
  <si>
    <t>“Forage Inventory Tool”  https://livestock.extension.wisc.edu/article-topic/decision-tools-and-software/</t>
  </si>
  <si>
    <t>“Hay Market Reports” http://fyi.uwex.edu/forage/h-m-r/</t>
  </si>
  <si>
    <t>Veterinary, Medicine and Breeding</t>
  </si>
  <si>
    <t>This section is for expenses dealing with overall health management and reproduction of the ewe enterprise.</t>
  </si>
  <si>
    <t>Enter in the annual costs for items related to herd health and reproduction.</t>
  </si>
  <si>
    <t>Pasture Expenses</t>
  </si>
  <si>
    <t>This section should include direct expenses for pasture like herbicide, seed, and fertilizer.</t>
  </si>
  <si>
    <t>If you include repair items like fencing materials, do not include them in the repairs section in related expenses.</t>
  </si>
  <si>
    <t>Rented pasture rental payments should be included here.</t>
  </si>
  <si>
    <t>Other Direct Expenses</t>
  </si>
  <si>
    <t>This section is a list of various common direct expenses that do not fit into the above categories.</t>
  </si>
  <si>
    <t>Enter those incurred by the ewe enterprise.</t>
  </si>
  <si>
    <t>Direct Expenses Summary and Opportunity Costs for Direct Expenses</t>
  </si>
  <si>
    <t>This section totals up all direct expenses and has a place for the user to enter in an appropriate interest rate to calculate an opportunity cost for the direct expenses. It assumes an average expense time of 6 months for direct expenses.</t>
  </si>
  <si>
    <t>Overhead expense categories are listed next in the spreadsheet tool</t>
  </si>
  <si>
    <t>Each overhead expense section has a place to enter an appropriate interest rate to calculate opportunity cost for that category.</t>
  </si>
  <si>
    <t>Home Raised Ewes</t>
  </si>
  <si>
    <t>In this section we have listed five age groups where the ewes should have similar values based on their age. Enter the number of young that are being raised as replacements but won't lamb in this budget and the ewes in the herd that lamb or should have lambed in this production cycle for each age group and an average per head value for each age group.</t>
  </si>
  <si>
    <t>Breeding Livestock Purchases</t>
  </si>
  <si>
    <t>This section is for purchases of rams and replacement females (ewes lambs or ewes).</t>
  </si>
  <si>
    <t>The user can claim the entire cost in the first year or pro-rate the cost over the expected productive life of the animal.</t>
  </si>
  <si>
    <t>If the operation purchases about the same amount of animals each year, it may be easiest to account for the entire cost in the purchase year. If purchasing animals, a ramfor example, is done every 2 years, pro-rating the cost over the useful life of the ram will help take fluctuations in costs out of the results when comparing over the years.</t>
  </si>
  <si>
    <t>Machinery, Equipment, Buildings, &amp; Facilities</t>
  </si>
  <si>
    <t>This section is used to estimate a value for fixed expenses used in the daily operations of the ewe enterprise. This method is different than standard methods used by banks and the IRS for depreciation and/or return on assets. This methodology estimates an annual cost of ownership/use looking forward needed to maintain the long term sustainability of the enterprise.</t>
  </si>
  <si>
    <t>Reasonable estimates of current value, years of useful life remaining, and salvage or trade in values are all needed to estimate depreciation for machinery and similar equipment. Percent allocated to ewes allows users to account for other uses. For example, a tractor used for hauling manure may also be used 60% of the time for a crop enterprise. In that case, the ewe enterprise is responsible for paying only 40% of the cost.</t>
  </si>
  <si>
    <t>Do not include machinery costs for growing harvested feeds, those should be accounted for in market value of the homegrown feedstuffs.</t>
  </si>
  <si>
    <t>Include machinery costs for getting feed from storage to the sheep, and machinery costs for manure removal and spreading, and taking the bedding from storage to putting it in the pens for the sheep.</t>
  </si>
  <si>
    <t>Equipment for hauling the sheep (trucks and trailers), and working the sheep (chutes and panels), should be included.</t>
  </si>
  <si>
    <t>For buildings we are assuming an ending value of zero. A reasonable value for the buildings and years of useful life will be needed to estimate an annual cost. One option would be to input a building replacement cost (consider what the building is used for, not what it may have originally been built for when determining a replacement cost) and assign an estimated total years of useful life if it was new. It is up to the user to determine how they assign reasonable values and years of useful life for buildings. If a building is used 7 months of the year for the sheep operation and stands empty the other five months, the entire annual cost should be charged to the sheep enterprise.</t>
  </si>
  <si>
    <t>Building costs to include are feed storage, livestock housing and feeding, handling facilities, and machine storage of equipment used for daily sheep chores.</t>
  </si>
  <si>
    <t>Using standard practice, machinery and equipment is depreciated out over 10 years and buildings over 20 years.</t>
  </si>
  <si>
    <t>The user can determine how long they want to them out but needs to use reasonable values in order to get accurate estimates on productions costs.</t>
  </si>
  <si>
    <t>Useful link</t>
  </si>
  <si>
    <t>“Building Cost Estimates-Beef Related Facilities” https://fyi.uwex.edu/wbic/files/2016/03/building-costs-factsheet-beef-03-01-16.pdf</t>
  </si>
  <si>
    <t>Other Overhead Expenses</t>
  </si>
  <si>
    <t>Real Estate and Personal Property Taxes and Insurance are entered in this section.</t>
  </si>
  <si>
    <t>Opportunity Cost on Owned Pasture</t>
  </si>
  <si>
    <t>A per acre value and appropriate interest rate are entered for all acres of owned pasture.</t>
  </si>
  <si>
    <t>Returns and Break-evens</t>
  </si>
  <si>
    <t>Intermediate and Long Term Debt Service, and Interest Payments on Operating Loans</t>
  </si>
  <si>
    <t>These three cash expenses are used for the Cash Flow Method profit loss and breakeven calculations</t>
  </si>
  <si>
    <t>Intermediate and long term debt principal and interest payments, and operating loan interest payments should be entered along with the percent allocation expected to be paid by the cow calf enterprise, OR, only the portion of these payments expected to be paid for by the cow calf enterprise can be entered and use 100% in the percent allocated to ewe column.</t>
  </si>
  <si>
    <t>Sensitivity Analysis</t>
  </si>
  <si>
    <t>Sensitivity analysis tables are provided for both enterprise budget method and cash flow method and they show breakeven changes on a per cwt. of feeder lamb sale price from user defined percentage changes in calculated breakeven sale price per cwt and feed cost per cwt. Users can enter in any percent change they want to consider in the percent difference columns and rows in the table. When entering the value it is necessary to enter – sign for a negative number. Those cells are set as percentage, so they will take care of converting whole numbers to actual percent in the calculations.</t>
  </si>
  <si>
    <t>Directions for this spreadsheet can be found on the Directions Tab at the bottom of the this spreadsheet</t>
  </si>
  <si>
    <t>There are also helpful hints in green boxes throughout this spreadsheet</t>
  </si>
  <si>
    <t>UW Extension Ewe Flock Enterprise Budget version 1.1</t>
  </si>
  <si>
    <t>Enter values in blue boxes.  Yellow, pink and tan boxes are calculated numbers.</t>
  </si>
  <si>
    <t>Number of Ewes (purchased and home raised) at the beginning of this cycle that should lamb for this enterprise analysis</t>
  </si>
  <si>
    <t>lbs. of lambs sold</t>
  </si>
  <si>
    <t xml:space="preserve">Item </t>
  </si>
  <si>
    <t>Head</t>
  </si>
  <si>
    <t>Ave weight in lb.</t>
  </si>
  <si>
    <t>Unit</t>
  </si>
  <si>
    <t>Price/lb.</t>
  </si>
  <si>
    <t>Total lbs. sold</t>
  </si>
  <si>
    <t>Total $ income</t>
  </si>
  <si>
    <t>Per ewe</t>
  </si>
  <si>
    <t>Per lb. of lamb sold</t>
  </si>
  <si>
    <t>Feeder lambs grp 1</t>
  </si>
  <si>
    <t>lb.</t>
  </si>
  <si>
    <t>Feeder lambs grp 2</t>
  </si>
  <si>
    <t>Cull ewes</t>
  </si>
  <si>
    <t>Cull rams</t>
  </si>
  <si>
    <t># of fleece</t>
  </si>
  <si>
    <t>Ave. fleece wt.</t>
  </si>
  <si>
    <t>Total lb. sold</t>
  </si>
  <si>
    <t>Wool Sales good quality</t>
  </si>
  <si>
    <t>Wool sales poor quality</t>
  </si>
  <si>
    <t xml:space="preserve">Other Livestock Sales </t>
  </si>
  <si>
    <t>Total Gross Revenue</t>
  </si>
  <si>
    <t>Feed stuff</t>
  </si>
  <si>
    <t>Quantity used</t>
  </si>
  <si>
    <t>Unit*</t>
  </si>
  <si>
    <t>$ Value/unit*</t>
  </si>
  <si>
    <t>Total Cost</t>
  </si>
  <si>
    <t>Good hay</t>
  </si>
  <si>
    <t>tons</t>
  </si>
  <si>
    <t>Medium hay</t>
  </si>
  <si>
    <t>Poor hay</t>
  </si>
  <si>
    <t>Shell corn</t>
  </si>
  <si>
    <t>bu.</t>
  </si>
  <si>
    <t>Oats</t>
  </si>
  <si>
    <t>Total Home Grown Feed</t>
  </si>
  <si>
    <r>
      <rPr>
        <rFont val="Calibri"/>
        <b/>
        <color rgb="FF000000"/>
        <sz val="14.0"/>
      </rPr>
      <t>*</t>
    </r>
    <r>
      <rPr>
        <rFont val="Calibri"/>
        <b val="0"/>
        <color rgb="FF000000"/>
        <sz val="14.0"/>
      </rPr>
      <t xml:space="preserve"> the user has flexibility on the unit of measure, make sure to match price based on the unit used</t>
    </r>
  </si>
  <si>
    <t>Cost/unit*</t>
  </si>
  <si>
    <t>Mineral</t>
  </si>
  <si>
    <t>50 lb. bags</t>
  </si>
  <si>
    <t>creep feed pellets</t>
  </si>
  <si>
    <t>sheep balancer pellet</t>
  </si>
  <si>
    <t>milk replacer</t>
  </si>
  <si>
    <t>25 lb. bags</t>
  </si>
  <si>
    <t>colostrum replacer</t>
  </si>
  <si>
    <t xml:space="preserve">1.5 lb. tubs </t>
  </si>
  <si>
    <t>grower pellet</t>
  </si>
  <si>
    <t>salt</t>
  </si>
  <si>
    <t>Total Purchased Feed</t>
  </si>
  <si>
    <t>Material</t>
  </si>
  <si>
    <t>$  Value/unit*</t>
  </si>
  <si>
    <t>Per lb. of lamb sold</t>
  </si>
  <si>
    <t>Corn stalks</t>
  </si>
  <si>
    <t>Straw</t>
  </si>
  <si>
    <t>Total Bedding</t>
  </si>
  <si>
    <t>Vet, Med &amp; Breeding</t>
  </si>
  <si>
    <t>Item</t>
  </si>
  <si>
    <t>Vaccines- lambs</t>
  </si>
  <si>
    <t>Vaccines- ewes</t>
  </si>
  <si>
    <t>Dewormer</t>
  </si>
  <si>
    <t>Vet bill</t>
  </si>
  <si>
    <t>Ear tags</t>
  </si>
  <si>
    <t xml:space="preserve">Total </t>
  </si>
  <si>
    <t>Pasture expenses that are routinely done every 2 to 3 years can be pro-rated to represent the annual share of that cost.</t>
  </si>
  <si>
    <t>Seed</t>
  </si>
  <si>
    <t>Fertilizer</t>
  </si>
  <si>
    <t>Limestone</t>
  </si>
  <si>
    <t>Herbicide</t>
  </si>
  <si>
    <t>Pasture rent</t>
  </si>
  <si>
    <t>Fence Repair</t>
  </si>
  <si>
    <t>Total Pasture Expenses</t>
  </si>
  <si>
    <t>Total Annual Expense</t>
  </si>
  <si>
    <t>% Allocated to sheep</t>
  </si>
  <si>
    <t>Annual Cost to ewe flock</t>
  </si>
  <si>
    <t>Shearing</t>
  </si>
  <si>
    <t>Paid / Hired Labor</t>
  </si>
  <si>
    <t>Fuel &amp; Oil</t>
  </si>
  <si>
    <t>Utilities</t>
  </si>
  <si>
    <t>Machinery Repair</t>
  </si>
  <si>
    <t>Facility &amp; Building Repair</t>
  </si>
  <si>
    <t>Dues and Professional Fees</t>
  </si>
  <si>
    <t>Permits and Certification</t>
  </si>
  <si>
    <t>Advertising</t>
  </si>
  <si>
    <t>Machinery Leases</t>
  </si>
  <si>
    <t>Building Leases</t>
  </si>
  <si>
    <t>Miscellaneous</t>
  </si>
  <si>
    <t xml:space="preserve">Hired Trucking </t>
  </si>
  <si>
    <t>Total Other Annual Direct Expenses for Ewe Flock Enterprise</t>
  </si>
  <si>
    <t>Total Direct Expenses</t>
  </si>
  <si>
    <t>Opportunity Cost of Direct Expenses *</t>
  </si>
  <si>
    <t>Interest rate</t>
  </si>
  <si>
    <t>* assumes an average expense time of 6 months for direct expenses for opportunity cost calculation</t>
  </si>
  <si>
    <t>Overhead Costs</t>
  </si>
  <si>
    <t xml:space="preserve">Home Raised Ewes * </t>
  </si>
  <si>
    <t>*each ewe should only be entered on one line above, only enter home raised ewes in this section</t>
  </si>
  <si>
    <t>Number of head</t>
  </si>
  <si>
    <t>Value/Head</t>
  </si>
  <si>
    <t>Annual Value</t>
  </si>
  <si>
    <t>Young Replacements not Lambing</t>
  </si>
  <si>
    <t>First Time Lambing Ewes</t>
  </si>
  <si>
    <t>Young Ewes</t>
  </si>
  <si>
    <t>Older Ewes</t>
  </si>
  <si>
    <t>Ewes you intend to cull after this budget cycle (last time they lamb)</t>
  </si>
  <si>
    <t>Totals</t>
  </si>
  <si>
    <t>Average Ewe Value</t>
  </si>
  <si>
    <t>Opportunity Cost of Home Raised Ewes</t>
  </si>
  <si>
    <t>Purchased Breeding Stock</t>
  </si>
  <si>
    <t>Description</t>
  </si>
  <si>
    <t>Sex</t>
  </si>
  <si>
    <t>Year bought</t>
  </si>
  <si>
    <t xml:space="preserve">Purchase Price </t>
  </si>
  <si>
    <t>Years intend to keep</t>
  </si>
  <si>
    <t>Estimated Cull/ Salvage Value</t>
  </si>
  <si>
    <t>Annual Pro-rated Cost</t>
  </si>
  <si>
    <t>Tank yearling</t>
  </si>
  <si>
    <t>ram</t>
  </si>
  <si>
    <t>Rufus ram lamb</t>
  </si>
  <si>
    <t>Tiberious ram lamb</t>
  </si>
  <si>
    <t>2 bred ewes lambs</t>
  </si>
  <si>
    <t>female</t>
  </si>
  <si>
    <t>Total</t>
  </si>
  <si>
    <t>Opportunity Cost of Purchased Livestock</t>
  </si>
  <si>
    <t>Machinery &amp; Equipment Overhead Cost</t>
  </si>
  <si>
    <t>Current market value</t>
  </si>
  <si>
    <t>Years of useful life left before replacement</t>
  </si>
  <si>
    <t>Estimated salvage/ trade in value</t>
  </si>
  <si>
    <t>Annual depreciation expense</t>
  </si>
  <si>
    <t>Estimated % Allocated to ewe flock</t>
  </si>
  <si>
    <t>Annual Expense to ewe flock</t>
  </si>
  <si>
    <t>Manure spreader</t>
  </si>
  <si>
    <t>tractor</t>
  </si>
  <si>
    <t>Skid steer</t>
  </si>
  <si>
    <t>1 ton dually</t>
  </si>
  <si>
    <t>gooseneck trailer</t>
  </si>
  <si>
    <t>Squeeze chute</t>
  </si>
  <si>
    <t xml:space="preserve">Bale feeders </t>
  </si>
  <si>
    <t>Opportunity Cost of Machinery</t>
  </si>
  <si>
    <t>Buildings and Facility Overhead Cost</t>
  </si>
  <si>
    <t xml:space="preserve"> Current value</t>
  </si>
  <si>
    <t>Years of useful life left</t>
  </si>
  <si>
    <t>Hay shed</t>
  </si>
  <si>
    <t>Winter shed</t>
  </si>
  <si>
    <t>Machine shed</t>
  </si>
  <si>
    <t>Subtotal</t>
  </si>
  <si>
    <t>Opportunity Cost of Buildings and Facilities</t>
  </si>
  <si>
    <t>Interest Rate</t>
  </si>
  <si>
    <t xml:space="preserve">Annual amount </t>
  </si>
  <si>
    <t>% Allocated to ewe flock</t>
  </si>
  <si>
    <t>Real Estate and Personal Property Taxes</t>
  </si>
  <si>
    <t>Farm Insurance</t>
  </si>
  <si>
    <t>Total Annual Other Overhead Expenses for Ewe Flock Enterprise</t>
  </si>
  <si>
    <t>Opportunity Cost of Other Overhead Expenses</t>
  </si>
  <si>
    <t>Acres</t>
  </si>
  <si>
    <t>$ Value/acre</t>
  </si>
  <si>
    <t>% Int. Rate</t>
  </si>
  <si>
    <t>Opportunity Cost for owned Pasture</t>
  </si>
  <si>
    <t>Summary</t>
  </si>
  <si>
    <t>Income</t>
  </si>
  <si>
    <t>Per ewe flock</t>
  </si>
  <si>
    <t>Lamb Sales</t>
  </si>
  <si>
    <t>Cull Sales</t>
  </si>
  <si>
    <t>Wool Sales</t>
  </si>
  <si>
    <t>Other Livestock Sales</t>
  </si>
  <si>
    <t>Direct Expenses</t>
  </si>
  <si>
    <t>Related Expenses</t>
  </si>
  <si>
    <t>Opportunity Cost of Direct Expenses</t>
  </si>
  <si>
    <t>Return Over Direct Expenses (return to labor, management and capital)</t>
  </si>
  <si>
    <t>Overhead Expenses</t>
  </si>
  <si>
    <t>Related Overhead Expenses (property taxes, insurance etc.)</t>
  </si>
  <si>
    <r>
      <rPr>
        <rFont val="Calibri"/>
        <b val="0"/>
        <color rgb="FF000000"/>
        <sz val="14.0"/>
      </rPr>
      <t>Pro-rated annual purchased breeding livestock</t>
    </r>
    <r>
      <rPr>
        <rFont val="Calibri"/>
        <b/>
        <color rgb="FF000000"/>
        <sz val="14.0"/>
      </rPr>
      <t xml:space="preserve"> </t>
    </r>
  </si>
  <si>
    <t>Machinery</t>
  </si>
  <si>
    <t>Buildings</t>
  </si>
  <si>
    <t>Opportunity Cost on All Overhead Expenses</t>
  </si>
  <si>
    <t>Total Overhead Expenses</t>
  </si>
  <si>
    <t>Revenue over Feed Costs</t>
  </si>
  <si>
    <t>Gross Revenue</t>
  </si>
  <si>
    <t>Total feed costs (purchased, homegrown harvested and total pasture)</t>
  </si>
  <si>
    <t>Returns and Breakevens</t>
  </si>
  <si>
    <t>Enterprise Budget Method</t>
  </si>
  <si>
    <t>Expenses include: annual overhead costs, cash expenses, all opportunity costs. It does not include: intermediate and long term debt principal payments.</t>
  </si>
  <si>
    <t xml:space="preserve">Return to Unpaid Labor and Management </t>
  </si>
  <si>
    <t>Breakeven (total income per ewe and per lb. of lamb sold including cull and other revenue)</t>
  </si>
  <si>
    <t xml:space="preserve">Breakeven lamb sale price less cull and other sales with zero return to unpaid labor and management </t>
  </si>
  <si>
    <t>Sensitivity Analysis on Enterprise Budget Method</t>
  </si>
  <si>
    <t>Sensitivity Analysis of Feed Cost and Lamb Sale Prices, results shown on a per lb. of lamb price difference in profit or loss</t>
  </si>
  <si>
    <t xml:space="preserve">Cash Flow Method </t>
  </si>
  <si>
    <t xml:space="preserve">Expenses include: cash expenses, cost of home grown feed, taxes, insurance, principal and interest payments . </t>
  </si>
  <si>
    <t xml:space="preserve">Does NOT include annual overhead costs of buildings and equipment  or opportunity costs. </t>
  </si>
  <si>
    <t>Principal and Interest Payments on Intermediate Term Loans</t>
  </si>
  <si>
    <t>Principal and Interest Payments on Long Term Loans</t>
  </si>
  <si>
    <t>Interest Payments on Operating Loan</t>
  </si>
  <si>
    <t>Return to Unpaid Labor, Management and Capital</t>
  </si>
  <si>
    <t>Breakeven (total income per ewe and per lb. of lamb  sold including cull and other revenue)</t>
  </si>
  <si>
    <t xml:space="preserve">Breakeven feeder sale price less cull and other sales </t>
  </si>
  <si>
    <t>Sensitivity Analysis on Cash Flow Budget Method</t>
  </si>
  <si>
    <t>Sensitivity Analysis of Feed Cost and Feeder Lamb Prices, results shown on a per lb. of feeder lamb  price difference in profit or loss</t>
  </si>
  <si>
    <t xml:space="preserve">Spreadsheet developed by: </t>
  </si>
  <si>
    <r>
      <rPr>
        <rFont val="Calibri"/>
        <b/>
        <color rgb="FF000000"/>
        <sz val="14.0"/>
      </rPr>
      <t xml:space="preserve"> </t>
    </r>
    <r>
      <rPr>
        <rFont val="Calibri"/>
        <b val="0"/>
        <i/>
        <color rgb="FF000000"/>
        <sz val="14.0"/>
      </rPr>
      <t>Bill Halfman, Carolyn Ihde, and Amanda Cauffman</t>
    </r>
  </si>
  <si>
    <t>Agriculture Agent in Monroe County, Extension Educators in Crawford/ Richland and Grant Counties</t>
  </si>
  <si>
    <t>Reviewed by: Tim Jergenson, retired UW Extension Agriculture Agent</t>
  </si>
  <si>
    <t xml:space="preserve">adapted from the UW Extension cow-calf enterprise budget </t>
  </si>
  <si>
    <t>updated 11-17-25</t>
  </si>
  <si>
    <t>UW Extension Drylot Lamb Finishing Enterprise Budget version 1.0</t>
  </si>
  <si>
    <t>UW Extension Lamb Finishing Enterprise Budget version 1.0</t>
  </si>
  <si>
    <t>Enter values in blue boxes, yellow are calculated numbers.</t>
  </si>
  <si>
    <t>Description of Enterprise:</t>
  </si>
  <si>
    <t>REVENUE</t>
  </si>
  <si>
    <t>Projected Sale Date</t>
  </si>
  <si>
    <t>Sale of finished lambs</t>
  </si>
  <si>
    <t>Sale Price</t>
  </si>
  <si>
    <t>Income/Head</t>
  </si>
  <si>
    <t>Head in group</t>
  </si>
  <si>
    <t>Total Revenue</t>
  </si>
  <si>
    <t>Sale weight</t>
  </si>
  <si>
    <t>lbs.</t>
  </si>
  <si>
    <t>$/lb.</t>
  </si>
  <si>
    <t>Wool sale</t>
  </si>
  <si>
    <t>Other (LDP payment for wool for example)</t>
  </si>
  <si>
    <t>Total revenue</t>
  </si>
  <si>
    <t>EXPENSES</t>
  </si>
  <si>
    <t>Home raised lambs should have an opportunity cost/ value assigned to them</t>
  </si>
  <si>
    <t>Projected Purchase or Start Date</t>
  </si>
  <si>
    <t>Purchase or Transfer of Feeder Lambs</t>
  </si>
  <si>
    <t>Purchase Price</t>
  </si>
  <si>
    <t>Cost/Head</t>
  </si>
  <si>
    <t>Head Started</t>
  </si>
  <si>
    <t>Total Expense</t>
  </si>
  <si>
    <t>Start weight</t>
  </si>
  <si>
    <t>Projected Performance</t>
  </si>
  <si>
    <t>Estimated weight gained per head</t>
  </si>
  <si>
    <t>Estimated days on feed</t>
  </si>
  <si>
    <t>days</t>
  </si>
  <si>
    <t>Rate of Gain</t>
  </si>
  <si>
    <t>lb./day</t>
  </si>
  <si>
    <t xml:space="preserve">Feed to Gain </t>
  </si>
  <si>
    <t>(will fill in after feed information is entered)</t>
  </si>
  <si>
    <t>lb. DM/lb. gain</t>
  </si>
  <si>
    <t>Feed Costs</t>
  </si>
  <si>
    <t>To calculate feed costs, enter feed information on the Drylot Lamb Finishing Feed Cost Tab</t>
  </si>
  <si>
    <t>Feed cost per head per day</t>
  </si>
  <si>
    <t xml:space="preserve">Total Group </t>
  </si>
  <si>
    <t>Feed cost per pound of gain</t>
  </si>
  <si>
    <t>Feed Cost</t>
  </si>
  <si>
    <t>Total feed costs per head</t>
  </si>
  <si>
    <t>Veterinary, Pharmaceutical and Health Costs</t>
  </si>
  <si>
    <t>Cost/Group</t>
  </si>
  <si>
    <t>Vaccine CD &amp;T</t>
  </si>
  <si>
    <t>Syringes &amp; Needles</t>
  </si>
  <si>
    <t>de-wormer</t>
  </si>
  <si>
    <t>total treatment for sick ones</t>
  </si>
  <si>
    <t>Other Expenses</t>
  </si>
  <si>
    <t>Death losses</t>
  </si>
  <si>
    <t>%</t>
  </si>
  <si>
    <t>Interest cost, lambs</t>
  </si>
  <si>
    <t>$</t>
  </si>
  <si>
    <t>%APR</t>
  </si>
  <si>
    <t>assumes 100% borrowed</t>
  </si>
  <si>
    <t>Interest cost, feed</t>
  </si>
  <si>
    <t>Bedding Calculator</t>
  </si>
  <si>
    <t>$/hd</t>
  </si>
  <si>
    <t>tons of bedding used by group</t>
  </si>
  <si>
    <t>Other supplies</t>
  </si>
  <si>
    <t>$/ton--- cost or value of bedding</t>
  </si>
  <si>
    <t xml:space="preserve">Transportation </t>
  </si>
  <si>
    <t>$/ group</t>
  </si>
  <si>
    <t>Marketing costs</t>
  </si>
  <si>
    <t>Taxes and Insurance</t>
  </si>
  <si>
    <t>Misc.</t>
  </si>
  <si>
    <t>total</t>
  </si>
  <si>
    <t>Total other livestock costs</t>
  </si>
  <si>
    <t>Yardage</t>
  </si>
  <si>
    <t>See the directions for an explanation of yardage.</t>
  </si>
  <si>
    <t>Daily yardage -</t>
  </si>
  <si>
    <t>$/hd/d</t>
  </si>
  <si>
    <t xml:space="preserve"> (not including labor)</t>
  </si>
  <si>
    <t>Cost per Pound of Gain</t>
  </si>
  <si>
    <t>This is a caculation of the total cost per pound that the animal gains while being fed out, not the cost per pound sold.</t>
  </si>
  <si>
    <t>$/pound of gain</t>
  </si>
  <si>
    <t>Return to Resources</t>
  </si>
  <si>
    <t>Estimated Receipts</t>
  </si>
  <si>
    <t>Variable Expenses (Expenses except yardage)</t>
  </si>
  <si>
    <t>Return to Labor, Management &amp; Capital</t>
  </si>
  <si>
    <t>Fixed Expenses</t>
  </si>
  <si>
    <t>Return to Labor and Management</t>
  </si>
  <si>
    <t>Breakeven Analysis</t>
  </si>
  <si>
    <t>Breakeven sell price per pound</t>
  </si>
  <si>
    <t>Breakeven cost less marketing cost</t>
  </si>
  <si>
    <t>Breakeven feeder lamb purchase price</t>
  </si>
  <si>
    <t>feed cost/</t>
  </si>
  <si>
    <t>lb lamb sold</t>
  </si>
  <si>
    <r>
      <rPr>
        <rFont val="Calibri"/>
        <b/>
        <color rgb="FF000000"/>
        <sz val="14.0"/>
      </rPr>
      <t xml:space="preserve"> </t>
    </r>
    <r>
      <rPr>
        <rFont val="Calibri"/>
        <b val="0"/>
        <i/>
        <color rgb="FF000000"/>
        <sz val="14.0"/>
      </rPr>
      <t>Bill Halfman, Carolyn Ihde, and Amanda Cauffman</t>
    </r>
  </si>
  <si>
    <t>updated 2-06-23</t>
  </si>
  <si>
    <t>Calculate feed costs from an as-fed basis</t>
  </si>
  <si>
    <t>Enter average lbs. fed per head per day on an as-fed basis for receiving period</t>
  </si>
  <si>
    <t>Ingredient</t>
  </si>
  <si>
    <t>As-fed lbs./hd/d</t>
  </si>
  <si>
    <t>Ingredient DM, %</t>
  </si>
  <si>
    <t>DM lbs./hd/day</t>
  </si>
  <si>
    <t>Total DM, lbs.</t>
  </si>
  <si>
    <t>Total As-fed lbs.</t>
  </si>
  <si>
    <t>Price</t>
  </si>
  <si>
    <t>Cost/ Head</t>
  </si>
  <si>
    <t>Corn</t>
  </si>
  <si>
    <t>$/bu.</t>
  </si>
  <si>
    <t>$/ton</t>
  </si>
  <si>
    <t>Sheep balancer pellet</t>
  </si>
  <si>
    <t>Hay</t>
  </si>
  <si>
    <t>Haylage</t>
  </si>
  <si>
    <t>Mineral in oz/head/day</t>
  </si>
  <si>
    <t>$/50 lb. bag</t>
  </si>
  <si>
    <t>Salt in oz/head/day</t>
  </si>
  <si>
    <t>Total Feed Costs</t>
  </si>
  <si>
    <t>Feed to Gain</t>
  </si>
  <si>
    <t>Feed cost per pound of ration as fed</t>
  </si>
  <si>
    <t>Feed cost per pound dry matter basis</t>
  </si>
  <si>
    <t>Bag to Ton Price Converter</t>
  </si>
  <si>
    <t>Price $/bag</t>
  </si>
  <si>
    <t>lb./bag</t>
  </si>
  <si>
    <t>Common standard bushel weights</t>
  </si>
  <si>
    <t>56 lb./bu @ 15.5% moisture</t>
  </si>
  <si>
    <t>Bushel to Ton Price Converter</t>
  </si>
  <si>
    <t>32 lb./bu @ 14% moisture</t>
  </si>
  <si>
    <t>Price $/bu</t>
  </si>
  <si>
    <t>Barley</t>
  </si>
  <si>
    <t>48 lb./bu @ 14.5% moisture</t>
  </si>
  <si>
    <t>lb./bu</t>
  </si>
  <si>
    <t>Soybeans</t>
  </si>
  <si>
    <t>60 lb./bu @ 13% moisture</t>
  </si>
  <si>
    <t>updated 10/08/2025</t>
  </si>
  <si>
    <t>UW Extension Pasture Lamb Finishing Enterprise Budget version 1.0</t>
  </si>
  <si>
    <t>Enter values in blue boxes, yellow, calculated numbers.</t>
  </si>
  <si>
    <t>Some pasture costs may not be incurred every year, (seed, weed control, etc.) a prorated cost should be entered to reflect the annual cost.</t>
  </si>
  <si>
    <t>Initial fencing cost can either be included in pasture rent cost or entered in the fencing line, fence repairs should be entered in the fence line</t>
  </si>
  <si>
    <t>Information on fencing costs can be found at this website</t>
  </si>
  <si>
    <t>Iowa State Extension Estimated Costs for Livestock Fencing</t>
  </si>
  <si>
    <t>Number of acres used for all lambs finished</t>
  </si>
  <si>
    <t>ac</t>
  </si>
  <si>
    <t>ac/hd</t>
  </si>
  <si>
    <t>Cost/Acre</t>
  </si>
  <si>
    <t>Pasture rent per acre (actual or opportunity cost)</t>
  </si>
  <si>
    <t>$/ac</t>
  </si>
  <si>
    <t xml:space="preserve">Seed costs </t>
  </si>
  <si>
    <t>Fertilizer &amp; Lime</t>
  </si>
  <si>
    <t xml:space="preserve">Fencing </t>
  </si>
  <si>
    <t>Weed control</t>
  </si>
  <si>
    <t xml:space="preserve">Equipment </t>
  </si>
  <si>
    <t>Other</t>
  </si>
  <si>
    <t xml:space="preserve">Total Pasture Costs </t>
  </si>
  <si>
    <t>Additional Home Grown and Purchased Feed Costs</t>
  </si>
  <si>
    <t>To calculate feed costs, enter feed information on the Pasture Lamb Finishing Feed Tab</t>
  </si>
  <si>
    <t>Total Group</t>
  </si>
  <si>
    <t>Feed cost for drylot time</t>
  </si>
  <si>
    <t>Supplemental feed cost while on pasture</t>
  </si>
  <si>
    <t>Cost of pasture</t>
  </si>
  <si>
    <t>Overall feed cost per pound of gain</t>
  </si>
  <si>
    <t>$/Group</t>
  </si>
  <si>
    <t>$/hd.</t>
  </si>
  <si>
    <t xml:space="preserve">Daily yardage - </t>
  </si>
  <si>
    <t>(not including labor)</t>
  </si>
  <si>
    <t>Variable Expenses (Expenses except yardage and pasture rent)</t>
  </si>
  <si>
    <t>$/lb</t>
  </si>
  <si>
    <r>
      <rPr>
        <rFont val="Calibri"/>
        <b/>
        <color rgb="FF000000"/>
        <sz val="14.0"/>
      </rPr>
      <t xml:space="preserve"> </t>
    </r>
    <r>
      <rPr>
        <rFont val="Calibri"/>
        <b val="0"/>
        <i/>
        <color rgb="FF000000"/>
        <sz val="14.0"/>
      </rPr>
      <t>Bill Halfman, Carolyn Ihde, and Amanda Cauffman</t>
    </r>
  </si>
  <si>
    <t>This section is for all feeds either home grown or purchased that are fed to the lambs in addition to the feed they graze from the pasture</t>
  </si>
  <si>
    <t xml:space="preserve">There are two sections for entering feed, the first section is for feed that the lambs receive when they are in drylot for example during a </t>
  </si>
  <si>
    <t>receiving period or weaning period, the second section is for supplemental feed they receive while on pasture.</t>
  </si>
  <si>
    <t>Lamb feed when they are on drylot</t>
  </si>
  <si>
    <t>Days Fed</t>
  </si>
  <si>
    <t>Other grain</t>
  </si>
  <si>
    <t>Supplemental while on pasture</t>
  </si>
  <si>
    <t>Days fed</t>
  </si>
  <si>
    <t>56 lb./bu@ 15.5% moisture</t>
  </si>
  <si>
    <t>60 lb/bu @ 13% moisture</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</si>
</sst>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quot;$&quot;#,##0.00"/>
    <numFmt numFmtId="165" formatCode="0.0%"/>
    <numFmt numFmtId="166" formatCode="&quot;$&quot;#,##0.00_);[Red]\(&quot;$&quot;#,##0.00\)"/>
    <numFmt numFmtId="167" formatCode="_(* #,##0.00_);_(* \(#,##0.00\);_(* &quot;-&quot;??_);_(@_)"/>
    <numFmt numFmtId="168" formatCode="&quot;$&quot;#,##0_);[Red]\(&quot;$&quot;#,##0\)"/>
    <numFmt numFmtId="169" formatCode="0.0"/>
    <numFmt numFmtId="170" formatCode="0.0000"/>
  </numFmts>
  <fonts count="27">
    <font>
      <sz val="11.0"/>
      <color rgb="FF000000"/>
      <name val="Calibri"/>
      <scheme val="minor"/>
    </font>
    <font>
      <color theme="1"/>
      <name val="Calibri"/>
      <scheme val="minor"/>
    </font>
    <font>
      <b/>
      <sz val="14.0"/>
      <color rgb="FF000000"/>
      <name val="Calibri"/>
    </font>
    <font>
      <b/>
      <sz val="11.0"/>
      <color rgb="FF000000"/>
      <name val="Calibri"/>
    </font>
    <font>
      <sz val="11.0"/>
      <color rgb="FF000000"/>
      <name val="Calibri"/>
    </font>
    <font>
      <u/>
      <sz val="11.0"/>
      <color rgb="FF000000"/>
      <name val="Calibri"/>
    </font>
    <font>
      <u/>
      <sz val="11.0"/>
      <color rgb="FF000000"/>
      <name val="Calibri"/>
    </font>
    <font>
      <sz val="14.0"/>
      <color rgb="FF000000"/>
      <name val="Calibri"/>
    </font>
    <font>
      <b/>
      <sz val="14.0"/>
      <color theme="0"/>
      <name val="Calibri"/>
    </font>
    <font>
      <sz val="14.0"/>
      <color theme="0"/>
      <name val="Calibri"/>
    </font>
    <font>
      <sz val="14.0"/>
      <color theme="1"/>
      <name val="Calibri"/>
    </font>
    <font>
      <b/>
      <sz val="14.0"/>
      <color theme="1"/>
      <name val="Calibri"/>
    </font>
    <font>
      <sz val="16.0"/>
      <color rgb="FF000000"/>
      <name val="Calibri"/>
    </font>
    <font>
      <sz val="12.0"/>
      <color theme="0"/>
      <name val="Calibri"/>
    </font>
    <font>
      <i/>
      <sz val="14.0"/>
      <color rgb="FF000000"/>
      <name val="Calibri"/>
    </font>
    <font>
      <b/>
      <sz val="10.0"/>
      <color rgb="FF000000"/>
      <name val="Arial"/>
    </font>
    <font>
      <sz val="12.0"/>
      <color rgb="FF000000"/>
      <name val="Calibri"/>
    </font>
    <font>
      <sz val="10.0"/>
      <color rgb="FF000000"/>
      <name val="Arial"/>
    </font>
    <font>
      <b/>
      <sz val="10.0"/>
      <color theme="0"/>
      <name val="Arial"/>
    </font>
    <font>
      <i/>
      <sz val="10.0"/>
      <color rgb="FF000000"/>
      <name val="Arial"/>
    </font>
    <font>
      <b/>
      <sz val="10.0"/>
      <color theme="1"/>
      <name val="Arial"/>
    </font>
    <font>
      <sz val="10.0"/>
      <color theme="0"/>
      <name val="Arial"/>
    </font>
    <font>
      <sz val="10.0"/>
      <color theme="1"/>
      <name val="Arial"/>
    </font>
    <font>
      <i/>
      <sz val="10.0"/>
      <color theme="1"/>
      <name val="Arial"/>
    </font>
    <font>
      <b/>
      <sz val="10.0"/>
      <color rgb="FFDD0806"/>
      <name val="Arial"/>
    </font>
    <font>
      <sz val="10.0"/>
      <color rgb="FFFFFFFF"/>
      <name val="Arial"/>
    </font>
    <font>
      <u/>
      <sz val="11.0"/>
      <color theme="10"/>
      <name val="Calibri"/>
    </font>
  </fonts>
  <fills count="17">
    <fill>
      <patternFill patternType="none"/>
    </fill>
    <fill>
      <patternFill patternType="lightGray"/>
    </fill>
    <fill>
      <patternFill patternType="solid">
        <fgColor rgb="FFCCFF99"/>
        <bgColor rgb="FFCCFF99"/>
      </patternFill>
    </fill>
    <fill>
      <patternFill patternType="solid">
        <fgColor rgb="FFDEEAF6"/>
        <bgColor rgb="FFDEEAF6"/>
      </patternFill>
    </fill>
    <fill>
      <patternFill patternType="solid">
        <fgColor theme="1"/>
        <bgColor theme="1"/>
      </patternFill>
    </fill>
    <fill>
      <patternFill patternType="solid">
        <fgColor rgb="FFFEF2CB"/>
        <bgColor rgb="FFFEF2CB"/>
      </patternFill>
    </fill>
    <fill>
      <patternFill patternType="solid">
        <fgColor rgb="FFFFFF99"/>
        <bgColor rgb="FFFFFF99"/>
      </patternFill>
    </fill>
    <fill>
      <patternFill patternType="solid">
        <fgColor rgb="FFFFCCFF"/>
        <bgColor rgb="FFFFCCFF"/>
      </patternFill>
    </fill>
    <fill>
      <patternFill patternType="solid">
        <fgColor rgb="FFA0F395"/>
        <bgColor rgb="FFA0F395"/>
      </patternFill>
    </fill>
    <fill>
      <patternFill patternType="solid">
        <fgColor rgb="FFFFEAD5"/>
        <bgColor rgb="FFFFEAD5"/>
      </patternFill>
    </fill>
    <fill>
      <patternFill patternType="solid">
        <fgColor rgb="FFFECCF3"/>
        <bgColor rgb="FFFECCF3"/>
      </patternFill>
    </fill>
    <fill>
      <patternFill patternType="solid">
        <fgColor rgb="FFFFE2C5"/>
        <bgColor rgb="FFFFE2C5"/>
      </patternFill>
    </fill>
    <fill>
      <patternFill patternType="solid">
        <fgColor rgb="FFFFC000"/>
        <bgColor rgb="FFFFC000"/>
      </patternFill>
    </fill>
    <fill>
      <patternFill patternType="solid">
        <fgColor rgb="FFFFFFCC"/>
        <bgColor rgb="FFFFFFCC"/>
      </patternFill>
    </fill>
    <fill>
      <patternFill patternType="solid">
        <fgColor rgb="FFFFFF00"/>
        <bgColor rgb="FFFFFF00"/>
      </patternFill>
    </fill>
    <fill>
      <patternFill patternType="solid">
        <fgColor rgb="FFD0CECE"/>
        <bgColor rgb="FFD0CECE"/>
      </patternFill>
    </fill>
    <fill>
      <patternFill patternType="solid">
        <fgColor rgb="FFC6D9F0"/>
        <bgColor rgb="FFC6D9F0"/>
      </patternFill>
    </fill>
  </fills>
  <borders count="23">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style="thin">
        <color rgb="FF000000"/>
      </top>
      <bottom/>
    </border>
    <border>
      <left/>
      <right style="thin">
        <color rgb="FF000000"/>
      </right>
      <top style="thin">
        <color rgb="FF000000"/>
      </top>
      <bottom/>
    </border>
    <border>
      <left style="thin">
        <color rgb="FF000000"/>
      </left>
    </border>
    <border>
      <left/>
      <right style="thin">
        <color rgb="FF000000"/>
      </right>
      <top style="thin">
        <color rgb="FF000000"/>
      </top>
      <bottom style="thin">
        <color rgb="FF000000"/>
      </bottom>
    </border>
    <border>
      <left/>
      <right/>
      <top style="thin">
        <color rgb="FF000000"/>
      </top>
      <bottom style="thin">
        <color rgb="FF000000"/>
      </bottom>
    </border>
    <border>
      <left/>
      <right/>
      <top style="thin">
        <color rgb="FF000000"/>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top style="thin">
        <color rgb="FF000000"/>
      </top>
      <bottom style="thin">
        <color rgb="FF000000"/>
      </bottom>
    </border>
    <border>
      <bottom style="thin">
        <color rgb="FF000000"/>
      </bottom>
    </border>
    <border>
      <bottom style="medium">
        <color rgb="FF000000"/>
      </bottom>
    </border>
    <border>
      <left style="thin">
        <color rgb="FF000000"/>
      </left>
      <right style="thin">
        <color rgb="FF000000"/>
      </right>
      <top/>
      <bottom/>
    </border>
  </borders>
  <cellStyleXfs count="1">
    <xf borderId="0" fillId="0" fontId="0" numFmtId="0" applyAlignment="1" applyFont="1"/>
  </cellStyleXfs>
  <cellXfs count="268">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Alignment="1" applyFont="1">
      <alignment shrinkToFit="0" wrapText="1"/>
    </xf>
    <xf borderId="0" fillId="0" fontId="3" numFmtId="0" xfId="0" applyAlignment="1" applyFont="1">
      <alignment readingOrder="0" shrinkToFit="0" wrapText="1"/>
    </xf>
    <xf borderId="0" fillId="0" fontId="4" numFmtId="0" xfId="0" applyAlignment="1" applyFont="1">
      <alignment readingOrder="0" shrinkToFit="0" wrapText="1"/>
    </xf>
    <xf borderId="0" fillId="0" fontId="4" numFmtId="0" xfId="0" applyAlignment="1" applyFont="1">
      <alignment shrinkToFit="0" wrapText="1"/>
    </xf>
    <xf borderId="0" fillId="0" fontId="3" numFmtId="0" xfId="0" applyAlignment="1" applyFont="1">
      <alignment shrinkToFit="0" wrapText="1"/>
    </xf>
    <xf borderId="0" fillId="0" fontId="5" numFmtId="0" xfId="0" applyAlignment="1" applyFont="1">
      <alignment readingOrder="0" shrinkToFit="0" wrapText="1"/>
    </xf>
    <xf borderId="0" fillId="0" fontId="6" numFmtId="0" xfId="0" applyAlignment="1" applyFont="1">
      <alignment shrinkToFit="0" wrapText="1"/>
    </xf>
    <xf borderId="1" fillId="2" fontId="3" numFmtId="0" xfId="0" applyBorder="1" applyFill="1" applyFont="1"/>
    <xf borderId="1" fillId="2" fontId="4" numFmtId="0" xfId="0" applyBorder="1" applyFont="1"/>
    <xf borderId="0" fillId="0" fontId="2" numFmtId="0" xfId="0" applyFont="1"/>
    <xf borderId="0" fillId="0" fontId="7" numFmtId="0" xfId="0" applyFont="1"/>
    <xf borderId="0" fillId="0" fontId="7" numFmtId="164" xfId="0" applyFont="1" applyNumberFormat="1"/>
    <xf borderId="0" fillId="0" fontId="2" numFmtId="3" xfId="0" applyFont="1" applyNumberFormat="1"/>
    <xf borderId="2" fillId="3" fontId="2" numFmtId="3" xfId="0" applyBorder="1" applyFill="1" applyFont="1" applyNumberFormat="1"/>
    <xf borderId="0" fillId="0" fontId="2" numFmtId="164" xfId="0" applyFont="1" applyNumberFormat="1"/>
    <xf borderId="1" fillId="4" fontId="8" numFmtId="0" xfId="0" applyBorder="1" applyFill="1" applyFont="1"/>
    <xf borderId="1" fillId="4" fontId="2" numFmtId="0" xfId="0" applyBorder="1" applyFont="1"/>
    <xf borderId="1" fillId="4" fontId="2" numFmtId="164" xfId="0" applyBorder="1" applyFont="1" applyNumberFormat="1"/>
    <xf borderId="2" fillId="0" fontId="7" numFmtId="0" xfId="0" applyAlignment="1" applyBorder="1" applyFont="1">
      <alignment horizontal="center"/>
    </xf>
    <xf borderId="3" fillId="5" fontId="7" numFmtId="0" xfId="0" applyBorder="1" applyFill="1" applyFont="1"/>
    <xf borderId="2" fillId="0" fontId="7" numFmtId="0" xfId="0" applyBorder="1" applyFont="1"/>
    <xf borderId="2" fillId="3" fontId="7" numFmtId="0" xfId="0" applyBorder="1" applyFont="1"/>
    <xf borderId="2" fillId="3" fontId="7" numFmtId="164" xfId="0" applyBorder="1" applyFont="1" applyNumberFormat="1"/>
    <xf borderId="2" fillId="6" fontId="7" numFmtId="0" xfId="0" applyBorder="1" applyFill="1" applyFont="1"/>
    <xf borderId="2" fillId="6" fontId="7" numFmtId="164" xfId="0" applyBorder="1" applyFont="1" applyNumberFormat="1"/>
    <xf borderId="2" fillId="7" fontId="7" numFmtId="164" xfId="0" applyBorder="1" applyFill="1" applyFont="1" applyNumberFormat="1"/>
    <xf borderId="2" fillId="5" fontId="7" numFmtId="164" xfId="0" applyBorder="1" applyFont="1" applyNumberFormat="1"/>
    <xf borderId="4" fillId="0" fontId="7" numFmtId="0" xfId="0" applyBorder="1" applyFont="1"/>
    <xf borderId="5" fillId="0" fontId="7" numFmtId="0" xfId="0" applyBorder="1" applyFont="1"/>
    <xf borderId="5" fillId="0" fontId="7" numFmtId="164" xfId="0" applyBorder="1" applyFont="1" applyNumberFormat="1"/>
    <xf borderId="6" fillId="0" fontId="7" numFmtId="0" xfId="0" applyBorder="1" applyFont="1"/>
    <xf borderId="7" fillId="0" fontId="7" numFmtId="0" xfId="0" applyBorder="1" applyFont="1"/>
    <xf borderId="8" fillId="0" fontId="7" numFmtId="0" xfId="0" applyBorder="1" applyFont="1"/>
    <xf borderId="9" fillId="0" fontId="7" numFmtId="0" xfId="0" applyBorder="1" applyFont="1"/>
    <xf borderId="9" fillId="0" fontId="7" numFmtId="164" xfId="0" applyBorder="1" applyFont="1" applyNumberFormat="1"/>
    <xf borderId="10" fillId="0" fontId="7" numFmtId="0" xfId="0" applyBorder="1" applyFont="1"/>
    <xf borderId="7" fillId="0" fontId="7" numFmtId="164" xfId="0" applyBorder="1" applyFont="1" applyNumberFormat="1"/>
    <xf borderId="2" fillId="0" fontId="7" numFmtId="164" xfId="0" applyBorder="1" applyFont="1" applyNumberFormat="1"/>
    <xf borderId="3" fillId="3" fontId="7" numFmtId="0" xfId="0" applyBorder="1" applyFont="1"/>
    <xf borderId="11" fillId="3" fontId="7" numFmtId="0" xfId="0" applyBorder="1" applyFont="1"/>
    <xf borderId="12" fillId="6" fontId="7" numFmtId="0" xfId="0" applyBorder="1" applyFont="1"/>
    <xf borderId="3" fillId="6" fontId="7" numFmtId="164" xfId="0" applyBorder="1" applyFont="1" applyNumberFormat="1"/>
    <xf borderId="13" fillId="0" fontId="7" numFmtId="0" xfId="0" applyBorder="1" applyFont="1"/>
    <xf borderId="3" fillId="3" fontId="7" numFmtId="164" xfId="0" applyBorder="1" applyFont="1" applyNumberFormat="1"/>
    <xf borderId="5" fillId="0" fontId="2" numFmtId="0" xfId="0" applyBorder="1" applyFont="1"/>
    <xf borderId="6" fillId="0" fontId="2" numFmtId="0" xfId="0" applyBorder="1" applyFont="1"/>
    <xf borderId="2" fillId="6" fontId="2" numFmtId="164" xfId="0" applyBorder="1" applyFont="1" applyNumberFormat="1"/>
    <xf borderId="14" fillId="7" fontId="2" numFmtId="164" xfId="0" applyBorder="1" applyFont="1" applyNumberFormat="1"/>
    <xf borderId="2" fillId="5" fontId="2" numFmtId="164" xfId="0" applyBorder="1" applyFont="1" applyNumberFormat="1"/>
    <xf borderId="1" fillId="4" fontId="7" numFmtId="0" xfId="0" applyBorder="1" applyFont="1"/>
    <xf borderId="1" fillId="4" fontId="8" numFmtId="0" xfId="0" applyAlignment="1" applyBorder="1" applyFont="1">
      <alignment shrinkToFit="0" wrapText="1"/>
    </xf>
    <xf borderId="1" fillId="4" fontId="7" numFmtId="0" xfId="0" applyAlignment="1" applyBorder="1" applyFont="1">
      <alignment shrinkToFit="0" wrapText="1"/>
    </xf>
    <xf borderId="1" fillId="4" fontId="7" numFmtId="0" xfId="0" applyAlignment="1" applyBorder="1" applyFont="1">
      <alignment horizontal="center" shrinkToFit="0" wrapText="1"/>
    </xf>
    <xf borderId="0" fillId="0" fontId="7" numFmtId="0" xfId="0" applyAlignment="1" applyFont="1">
      <alignment shrinkToFit="0" wrapText="1"/>
    </xf>
    <xf borderId="2" fillId="0" fontId="7" numFmtId="0" xfId="0" applyAlignment="1" applyBorder="1" applyFont="1">
      <alignment shrinkToFit="0" wrapText="1"/>
    </xf>
    <xf borderId="2" fillId="0" fontId="7" numFmtId="0" xfId="0" applyAlignment="1" applyBorder="1" applyFont="1">
      <alignment horizontal="center" shrinkToFit="0" wrapText="1"/>
    </xf>
    <xf borderId="2" fillId="7" fontId="2" numFmtId="164" xfId="0" applyBorder="1" applyFont="1" applyNumberFormat="1"/>
    <xf borderId="1" fillId="2" fontId="2" numFmtId="0" xfId="0" applyBorder="1" applyFont="1"/>
    <xf borderId="1" fillId="2" fontId="2" numFmtId="164" xfId="0" applyBorder="1" applyFont="1" applyNumberFormat="1"/>
    <xf borderId="1" fillId="4" fontId="9" numFmtId="0" xfId="0" applyAlignment="1" applyBorder="1" applyFont="1">
      <alignment shrinkToFit="0" wrapText="1"/>
    </xf>
    <xf borderId="1" fillId="4" fontId="9" numFmtId="0" xfId="0" applyAlignment="1" applyBorder="1" applyFont="1">
      <alignment horizontal="center" shrinkToFit="0" wrapText="1"/>
    </xf>
    <xf borderId="5" fillId="0" fontId="7" numFmtId="0" xfId="0" applyAlignment="1" applyBorder="1" applyFont="1">
      <alignment horizontal="center"/>
    </xf>
    <xf borderId="6" fillId="0" fontId="7" numFmtId="0" xfId="0" applyAlignment="1" applyBorder="1" applyFont="1">
      <alignment horizontal="center"/>
    </xf>
    <xf borderId="1" fillId="8" fontId="8" numFmtId="0" xfId="0" applyAlignment="1" applyBorder="1" applyFill="1" applyFont="1">
      <alignment shrinkToFit="0" wrapText="1"/>
    </xf>
    <xf borderId="1" fillId="8" fontId="7" numFmtId="0" xfId="0" applyBorder="1" applyFont="1"/>
    <xf borderId="1" fillId="8" fontId="7" numFmtId="0" xfId="0" applyAlignment="1" applyBorder="1" applyFont="1">
      <alignment horizontal="center"/>
    </xf>
    <xf borderId="1" fillId="8" fontId="7" numFmtId="0" xfId="0" applyAlignment="1" applyBorder="1" applyFont="1">
      <alignment shrinkToFit="0" wrapText="1"/>
    </xf>
    <xf borderId="0" fillId="0" fontId="10" numFmtId="0" xfId="0" applyAlignment="1" applyFont="1">
      <alignment shrinkToFit="0" wrapText="1"/>
    </xf>
    <xf borderId="4" fillId="0" fontId="10" numFmtId="0" xfId="0" applyAlignment="1" applyBorder="1" applyFont="1">
      <alignment shrinkToFit="0" wrapText="1"/>
    </xf>
    <xf borderId="2" fillId="3" fontId="7" numFmtId="9" xfId="0" applyBorder="1" applyFont="1" applyNumberFormat="1"/>
    <xf borderId="4" fillId="0" fontId="10" numFmtId="0" xfId="0" applyBorder="1" applyFont="1"/>
    <xf borderId="5" fillId="0" fontId="10" numFmtId="0" xfId="0" applyAlignment="1" applyBorder="1" applyFont="1">
      <alignment shrinkToFit="0" wrapText="1"/>
    </xf>
    <xf borderId="15" fillId="3" fontId="10" numFmtId="0" xfId="0" applyAlignment="1" applyBorder="1" applyFont="1">
      <alignment shrinkToFit="0" wrapText="1"/>
    </xf>
    <xf borderId="15" fillId="3" fontId="7" numFmtId="0" xfId="0" applyBorder="1" applyFont="1"/>
    <xf borderId="14" fillId="3" fontId="7" numFmtId="0" xfId="0" applyBorder="1" applyFont="1"/>
    <xf borderId="16" fillId="3" fontId="4" numFmtId="0" xfId="0" applyBorder="1" applyFont="1"/>
    <xf borderId="16" fillId="3" fontId="7" numFmtId="0" xfId="0" applyBorder="1" applyFont="1"/>
    <xf borderId="12" fillId="3" fontId="7" numFmtId="0" xfId="0" applyBorder="1" applyFont="1"/>
    <xf borderId="3" fillId="3" fontId="7" numFmtId="9" xfId="0" applyBorder="1" applyFont="1" applyNumberFormat="1"/>
    <xf borderId="5" fillId="0" fontId="11" numFmtId="0" xfId="0" applyBorder="1" applyFont="1"/>
    <xf borderId="0" fillId="0" fontId="11" numFmtId="0" xfId="0" applyFont="1"/>
    <xf borderId="1" fillId="4" fontId="9" numFmtId="0" xfId="0" applyBorder="1" applyFont="1"/>
    <xf borderId="1" fillId="4" fontId="8" numFmtId="164" xfId="0" applyBorder="1" applyFont="1" applyNumberFormat="1"/>
    <xf borderId="2" fillId="9" fontId="2" numFmtId="164" xfId="0" applyBorder="1" applyFill="1" applyFont="1" applyNumberFormat="1"/>
    <xf borderId="2" fillId="3" fontId="7" numFmtId="165" xfId="0" applyBorder="1" applyFont="1" applyNumberFormat="1"/>
    <xf borderId="2" fillId="10" fontId="2" numFmtId="164" xfId="0" applyBorder="1" applyFill="1" applyFont="1" applyNumberFormat="1"/>
    <xf borderId="2" fillId="11" fontId="2" numFmtId="164" xfId="0" applyBorder="1" applyFill="1" applyFont="1" applyNumberFormat="1"/>
    <xf borderId="1" fillId="2" fontId="7" numFmtId="0" xfId="0" applyBorder="1" applyFont="1"/>
    <xf borderId="1" fillId="2" fontId="7" numFmtId="165" xfId="0" applyBorder="1" applyFont="1" applyNumberFormat="1"/>
    <xf borderId="0" fillId="0" fontId="8" numFmtId="0" xfId="0" applyAlignment="1" applyFont="1">
      <alignment shrinkToFit="0" wrapText="1"/>
    </xf>
    <xf borderId="2" fillId="0" fontId="7" numFmtId="164" xfId="0" applyAlignment="1" applyBorder="1" applyFont="1" applyNumberFormat="1">
      <alignment horizontal="center" shrinkToFit="0" wrapText="1"/>
    </xf>
    <xf borderId="17" fillId="3" fontId="7" numFmtId="0" xfId="0" applyBorder="1" applyFont="1"/>
    <xf borderId="18" fillId="3" fontId="7" numFmtId="164" xfId="0" applyBorder="1" applyFont="1" applyNumberFormat="1"/>
    <xf borderId="17" fillId="6" fontId="7" numFmtId="164" xfId="0" applyBorder="1" applyFont="1" applyNumberFormat="1"/>
    <xf borderId="19" fillId="3" fontId="7" numFmtId="164" xfId="0" applyBorder="1" applyFont="1" applyNumberFormat="1"/>
    <xf borderId="2" fillId="6" fontId="2" numFmtId="0" xfId="0" applyBorder="1" applyFont="1"/>
    <xf borderId="2" fillId="0" fontId="2" numFmtId="164" xfId="0" applyBorder="1" applyFont="1" applyNumberFormat="1"/>
    <xf borderId="4" fillId="0" fontId="7" numFmtId="0" xfId="0" applyAlignment="1" applyBorder="1" applyFont="1">
      <alignment shrinkToFit="0" wrapText="1"/>
    </xf>
    <xf borderId="6" fillId="0" fontId="7" numFmtId="0" xfId="0" applyAlignment="1" applyBorder="1" applyFont="1">
      <alignment horizontal="center" shrinkToFit="0" wrapText="1"/>
    </xf>
    <xf borderId="19" fillId="3" fontId="7" numFmtId="0" xfId="0" applyBorder="1" applyFont="1"/>
    <xf borderId="2" fillId="3" fontId="12" numFmtId="0" xfId="0" applyBorder="1" applyFont="1"/>
    <xf borderId="14" fillId="3" fontId="7" numFmtId="164" xfId="0" applyBorder="1" applyFont="1" applyNumberFormat="1"/>
    <xf borderId="12" fillId="3" fontId="7" numFmtId="164" xfId="0" applyBorder="1" applyFont="1" applyNumberFormat="1"/>
    <xf borderId="20" fillId="0" fontId="2" numFmtId="0" xfId="0" applyBorder="1" applyFont="1"/>
    <xf borderId="9" fillId="0" fontId="2" numFmtId="0" xfId="0" applyBorder="1" applyFont="1"/>
    <xf borderId="12" fillId="6" fontId="2" numFmtId="164" xfId="0" applyBorder="1" applyFont="1" applyNumberFormat="1"/>
    <xf borderId="3" fillId="7" fontId="2" numFmtId="164" xfId="0" applyBorder="1" applyFont="1" applyNumberFormat="1"/>
    <xf borderId="3" fillId="5" fontId="2" numFmtId="164" xfId="0" applyBorder="1" applyFont="1" applyNumberFormat="1"/>
    <xf borderId="2" fillId="3" fontId="2" numFmtId="165" xfId="0" applyBorder="1" applyFont="1" applyNumberFormat="1"/>
    <xf borderId="0" fillId="0" fontId="2" numFmtId="165" xfId="0" applyFont="1" applyNumberFormat="1"/>
    <xf borderId="4" fillId="0" fontId="2" numFmtId="0" xfId="0" applyBorder="1" applyFont="1"/>
    <xf borderId="5" fillId="0" fontId="2" numFmtId="164" xfId="0" applyBorder="1" applyFont="1" applyNumberFormat="1"/>
    <xf borderId="3" fillId="6" fontId="2" numFmtId="164" xfId="0" applyBorder="1" applyFont="1" applyNumberFormat="1"/>
    <xf borderId="12" fillId="7" fontId="2" numFmtId="164" xfId="0" applyBorder="1" applyFont="1" applyNumberFormat="1"/>
    <xf borderId="14" fillId="6" fontId="7" numFmtId="164" xfId="0" applyBorder="1" applyFont="1" applyNumberFormat="1"/>
    <xf borderId="9" fillId="0" fontId="2" numFmtId="164" xfId="0" applyBorder="1" applyFont="1" applyNumberFormat="1"/>
    <xf borderId="0" fillId="0" fontId="10" numFmtId="0" xfId="0" applyFont="1"/>
    <xf borderId="7" fillId="0" fontId="7" numFmtId="0" xfId="0" applyAlignment="1" applyBorder="1" applyFont="1">
      <alignment horizontal="center" shrinkToFit="0" wrapText="1"/>
    </xf>
    <xf borderId="7" fillId="0" fontId="7" numFmtId="0" xfId="0" applyAlignment="1" applyBorder="1" applyFont="1">
      <alignment horizontal="center"/>
    </xf>
    <xf borderId="2" fillId="10" fontId="7" numFmtId="164" xfId="0" applyBorder="1" applyFont="1" applyNumberFormat="1"/>
    <xf borderId="0" fillId="0" fontId="7" numFmtId="0" xfId="0" applyAlignment="1" applyFont="1">
      <alignment horizontal="center"/>
    </xf>
    <xf borderId="0" fillId="0" fontId="7" numFmtId="10" xfId="0" applyAlignment="1" applyFont="1" applyNumberFormat="1">
      <alignment horizontal="center"/>
    </xf>
    <xf borderId="2" fillId="3" fontId="7" numFmtId="10" xfId="0" applyBorder="1" applyFont="1" applyNumberFormat="1"/>
    <xf borderId="1" fillId="12" fontId="2" numFmtId="0" xfId="0" applyBorder="1" applyFill="1" applyFont="1"/>
    <xf borderId="1" fillId="12" fontId="7" numFmtId="0" xfId="0" applyBorder="1" applyFont="1"/>
    <xf borderId="17" fillId="6" fontId="2" numFmtId="164" xfId="0" applyBorder="1" applyFont="1" applyNumberFormat="1"/>
    <xf borderId="17" fillId="7" fontId="2" numFmtId="164" xfId="0" applyBorder="1" applyFont="1" applyNumberFormat="1"/>
    <xf borderId="17" fillId="5" fontId="2" numFmtId="164" xfId="0" applyBorder="1" applyFont="1" applyNumberFormat="1"/>
    <xf borderId="2" fillId="6" fontId="2" numFmtId="166" xfId="0" applyBorder="1" applyFont="1" applyNumberFormat="1"/>
    <xf borderId="2" fillId="7" fontId="2" numFmtId="166" xfId="0" applyBorder="1" applyFont="1" applyNumberFormat="1"/>
    <xf borderId="2" fillId="5" fontId="2" numFmtId="166" xfId="0" applyBorder="1" applyFont="1" applyNumberFormat="1"/>
    <xf borderId="17" fillId="7" fontId="7" numFmtId="164" xfId="0" applyBorder="1" applyFont="1" applyNumberFormat="1"/>
    <xf borderId="17" fillId="5" fontId="7" numFmtId="164" xfId="0" applyBorder="1" applyFont="1" applyNumberFormat="1"/>
    <xf borderId="20" fillId="0" fontId="7" numFmtId="0" xfId="0" applyBorder="1" applyFont="1"/>
    <xf borderId="2" fillId="13" fontId="7" numFmtId="164" xfId="0" applyBorder="1" applyFill="1" applyFont="1" applyNumberFormat="1"/>
    <xf borderId="2" fillId="13" fontId="2" numFmtId="164" xfId="0" applyBorder="1" applyFont="1" applyNumberFormat="1"/>
    <xf borderId="0" fillId="0" fontId="4" numFmtId="0" xfId="0" applyFont="1"/>
    <xf borderId="2" fillId="3" fontId="2" numFmtId="10" xfId="0" applyAlignment="1" applyBorder="1" applyFont="1" applyNumberFormat="1">
      <alignment horizontal="right"/>
    </xf>
    <xf borderId="2" fillId="0" fontId="2" numFmtId="10" xfId="0" applyAlignment="1" applyBorder="1" applyFont="1" applyNumberFormat="1">
      <alignment horizontal="right"/>
    </xf>
    <xf borderId="2" fillId="14" fontId="2" numFmtId="164" xfId="0" applyBorder="1" applyFill="1" applyFont="1" applyNumberFormat="1"/>
    <xf borderId="2" fillId="3" fontId="2" numFmtId="10" xfId="0" applyBorder="1" applyFont="1" applyNumberFormat="1"/>
    <xf borderId="2" fillId="13" fontId="7" numFmtId="166" xfId="0" applyBorder="1" applyFont="1" applyNumberFormat="1"/>
    <xf borderId="2" fillId="0" fontId="2" numFmtId="10" xfId="0" applyBorder="1" applyFont="1" applyNumberFormat="1"/>
    <xf borderId="0" fillId="0" fontId="2" numFmtId="10" xfId="0" applyFont="1" applyNumberFormat="1"/>
    <xf borderId="0" fillId="0" fontId="7" numFmtId="166" xfId="0" applyFont="1" applyNumberFormat="1"/>
    <xf borderId="10" fillId="0" fontId="7" numFmtId="0" xfId="0" applyAlignment="1" applyBorder="1" applyFont="1">
      <alignment horizontal="center" shrinkToFit="0" wrapText="1"/>
    </xf>
    <xf borderId="1" fillId="4" fontId="13" numFmtId="0" xfId="0" applyBorder="1" applyFont="1"/>
    <xf borderId="0" fillId="0" fontId="14" numFmtId="10" xfId="0" applyFont="1" applyNumberFormat="1"/>
    <xf borderId="0" fillId="0" fontId="14" numFmtId="164" xfId="0" applyFont="1" applyNumberFormat="1"/>
    <xf borderId="0" fillId="0" fontId="14" numFmtId="0" xfId="0" applyFont="1"/>
    <xf borderId="0" fillId="0" fontId="15" numFmtId="0" xfId="0" applyFont="1"/>
    <xf borderId="0" fillId="0" fontId="16" numFmtId="0" xfId="0" applyFont="1"/>
    <xf borderId="0" fillId="0" fontId="17" numFmtId="0" xfId="0" applyFont="1"/>
    <xf borderId="19" fillId="3" fontId="17" numFmtId="0" xfId="0" applyBorder="1" applyFont="1"/>
    <xf borderId="15" fillId="3" fontId="17" numFmtId="0" xfId="0" applyBorder="1" applyFont="1"/>
    <xf borderId="14" fillId="3" fontId="17" numFmtId="0" xfId="0" applyBorder="1" applyFont="1"/>
    <xf borderId="1" fillId="4" fontId="18" numFmtId="0" xfId="0" applyBorder="1" applyFont="1"/>
    <xf borderId="1" fillId="4" fontId="17" numFmtId="0" xfId="0" applyBorder="1" applyFont="1"/>
    <xf borderId="2" fillId="3" fontId="15" numFmtId="14" xfId="0" applyBorder="1" applyFont="1" applyNumberFormat="1"/>
    <xf borderId="0" fillId="0" fontId="17" numFmtId="0" xfId="0" applyAlignment="1" applyFont="1">
      <alignment shrinkToFit="0" wrapText="1"/>
    </xf>
    <xf borderId="0" fillId="0" fontId="15" numFmtId="0" xfId="0" applyAlignment="1" applyFont="1">
      <alignment shrinkToFit="0" wrapText="1"/>
    </xf>
    <xf borderId="0" fillId="0" fontId="15" numFmtId="0" xfId="0" applyAlignment="1" applyFont="1">
      <alignment horizontal="center" shrinkToFit="0" wrapText="1"/>
    </xf>
    <xf borderId="2" fillId="3" fontId="15" numFmtId="0" xfId="0" applyBorder="1" applyFont="1"/>
    <xf borderId="2" fillId="3" fontId="15" numFmtId="164" xfId="0" applyBorder="1" applyFont="1" applyNumberFormat="1"/>
    <xf borderId="2" fillId="6" fontId="15" numFmtId="164" xfId="0" applyBorder="1" applyFont="1" applyNumberFormat="1"/>
    <xf borderId="2" fillId="6" fontId="15" numFmtId="0" xfId="0" applyBorder="1" applyFont="1"/>
    <xf borderId="0" fillId="0" fontId="15" numFmtId="164" xfId="0" applyFont="1" applyNumberFormat="1"/>
    <xf borderId="0" fillId="0" fontId="18" numFmtId="0" xfId="0" applyFont="1"/>
    <xf borderId="1" fillId="8" fontId="19" numFmtId="0" xfId="0" applyBorder="1" applyFont="1"/>
    <xf borderId="1" fillId="15" fontId="17" numFmtId="0" xfId="0" applyBorder="1" applyFill="1" applyFont="1"/>
    <xf borderId="1" fillId="15" fontId="20" numFmtId="0" xfId="0" applyBorder="1" applyFont="1"/>
    <xf borderId="1" fillId="15" fontId="21" numFmtId="0" xfId="0" applyBorder="1" applyFont="1"/>
    <xf borderId="0" fillId="0" fontId="21" numFmtId="0" xfId="0" applyFont="1"/>
    <xf borderId="0" fillId="0" fontId="20" numFmtId="0" xfId="0" applyFont="1"/>
    <xf borderId="2" fillId="6" fontId="20" numFmtId="0" xfId="0" applyBorder="1" applyFont="1"/>
    <xf borderId="2" fillId="6" fontId="15" numFmtId="1" xfId="0" applyBorder="1" applyFont="1" applyNumberFormat="1"/>
    <xf borderId="2" fillId="6" fontId="15" numFmtId="2" xfId="0" applyBorder="1" applyFont="1" applyNumberFormat="1"/>
    <xf borderId="0" fillId="0" fontId="15" numFmtId="2" xfId="0" applyFont="1" applyNumberFormat="1"/>
    <xf borderId="0" fillId="0" fontId="22" numFmtId="0" xfId="0" applyFont="1"/>
    <xf borderId="1" fillId="8" fontId="17" numFmtId="0" xfId="0" applyBorder="1" applyFont="1"/>
    <xf borderId="1" fillId="15" fontId="15" numFmtId="0" xfId="0" applyBorder="1" applyFont="1"/>
    <xf borderId="2" fillId="16" fontId="20" numFmtId="0" xfId="0" applyAlignment="1" applyBorder="1" applyFill="1" applyFont="1">
      <alignment horizontal="right"/>
    </xf>
    <xf borderId="0" fillId="0" fontId="20" numFmtId="0" xfId="0" applyAlignment="1" applyFont="1">
      <alignment horizontal="left"/>
    </xf>
    <xf borderId="0" fillId="0" fontId="20" numFmtId="167" xfId="0" applyAlignment="1" applyFont="1" applyNumberFormat="1">
      <alignment horizontal="right"/>
    </xf>
    <xf borderId="0" fillId="0" fontId="20" numFmtId="166" xfId="0" applyAlignment="1" applyFont="1" applyNumberFormat="1">
      <alignment horizontal="right"/>
    </xf>
    <xf borderId="2" fillId="6" fontId="20" numFmtId="164" xfId="0" applyAlignment="1" applyBorder="1" applyFont="1" applyNumberFormat="1">
      <alignment horizontal="right"/>
    </xf>
    <xf borderId="0" fillId="0" fontId="22" numFmtId="166" xfId="0" applyFont="1" applyNumberFormat="1"/>
    <xf borderId="2" fillId="6" fontId="20" numFmtId="164" xfId="0" applyBorder="1" applyFont="1" applyNumberFormat="1"/>
    <xf borderId="3" fillId="6" fontId="20" numFmtId="164" xfId="0" applyAlignment="1" applyBorder="1" applyFont="1" applyNumberFormat="1">
      <alignment horizontal="right"/>
    </xf>
    <xf borderId="3" fillId="3" fontId="20" numFmtId="0" xfId="0" applyAlignment="1" applyBorder="1" applyFont="1">
      <alignment horizontal="right"/>
    </xf>
    <xf borderId="0" fillId="0" fontId="20" numFmtId="166" xfId="0" applyAlignment="1" applyFont="1" applyNumberFormat="1">
      <alignment horizontal="left"/>
    </xf>
    <xf borderId="0" fillId="0" fontId="23" numFmtId="0" xfId="0" applyAlignment="1" applyFont="1">
      <alignment horizontal="left"/>
    </xf>
    <xf borderId="2" fillId="3" fontId="20" numFmtId="0" xfId="0" applyAlignment="1" applyBorder="1" applyFont="1">
      <alignment horizontal="right"/>
    </xf>
    <xf borderId="0" fillId="0" fontId="20" numFmtId="168" xfId="0" applyAlignment="1" applyFont="1" applyNumberFormat="1">
      <alignment horizontal="right"/>
    </xf>
    <xf borderId="0" fillId="0" fontId="20" numFmtId="0" xfId="0" applyAlignment="1" applyFont="1">
      <alignment horizontal="right"/>
    </xf>
    <xf borderId="2" fillId="3" fontId="20" numFmtId="164" xfId="0" applyBorder="1" applyFont="1" applyNumberFormat="1"/>
    <xf borderId="0" fillId="0" fontId="20" numFmtId="164" xfId="0" applyAlignment="1" applyFont="1" applyNumberFormat="1">
      <alignment horizontal="right"/>
    </xf>
    <xf borderId="0" fillId="0" fontId="20" numFmtId="166" xfId="0" applyFont="1" applyNumberFormat="1"/>
    <xf borderId="0" fillId="0" fontId="24" numFmtId="0" xfId="0" applyFont="1"/>
    <xf borderId="2" fillId="6" fontId="20" numFmtId="1" xfId="0" applyBorder="1" applyFont="1" applyNumberFormat="1"/>
    <xf borderId="0" fillId="0" fontId="20" numFmtId="165" xfId="0" applyFont="1" applyNumberFormat="1"/>
    <xf borderId="0" fillId="0" fontId="20" numFmtId="164" xfId="0" applyFont="1" applyNumberFormat="1"/>
    <xf borderId="0" fillId="0" fontId="20" numFmtId="1" xfId="0" applyFont="1" applyNumberFormat="1"/>
    <xf borderId="0" fillId="0" fontId="15" numFmtId="166" xfId="0" applyFont="1" applyNumberFormat="1"/>
    <xf borderId="2" fillId="6" fontId="15" numFmtId="166" xfId="0" applyBorder="1" applyFont="1" applyNumberFormat="1"/>
    <xf borderId="1" fillId="4" fontId="21" numFmtId="0" xfId="0" applyBorder="1" applyFont="1"/>
    <xf borderId="2" fillId="3" fontId="15" numFmtId="10" xfId="0" applyAlignment="1" applyBorder="1" applyFont="1" applyNumberFormat="1">
      <alignment horizontal="right"/>
    </xf>
    <xf borderId="2" fillId="0" fontId="15" numFmtId="10" xfId="0" applyAlignment="1" applyBorder="1" applyFont="1" applyNumberFormat="1">
      <alignment horizontal="right"/>
    </xf>
    <xf borderId="2" fillId="0" fontId="15" numFmtId="0" xfId="0" applyBorder="1" applyFont="1"/>
    <xf borderId="2" fillId="0" fontId="15" numFmtId="164" xfId="0" applyBorder="1" applyFont="1" applyNumberFormat="1"/>
    <xf borderId="2" fillId="14" fontId="15" numFmtId="164" xfId="0" applyBorder="1" applyFont="1" applyNumberFormat="1"/>
    <xf borderId="2" fillId="3" fontId="15" numFmtId="10" xfId="0" applyBorder="1" applyFont="1" applyNumberFormat="1"/>
    <xf borderId="2" fillId="13" fontId="17" numFmtId="166" xfId="0" applyBorder="1" applyFont="1" applyNumberFormat="1"/>
    <xf borderId="2" fillId="0" fontId="15" numFmtId="10" xfId="0" applyBorder="1" applyFont="1" applyNumberFormat="1"/>
    <xf borderId="0" fillId="0" fontId="25" numFmtId="0" xfId="0" applyFont="1"/>
    <xf borderId="1" fillId="8" fontId="23" numFmtId="0" xfId="0" applyBorder="1" applyFont="1"/>
    <xf borderId="1" fillId="8" fontId="22" numFmtId="0" xfId="0" applyBorder="1" applyFont="1"/>
    <xf borderId="21" fillId="0" fontId="20" numFmtId="0" xfId="0" applyAlignment="1" applyBorder="1" applyFont="1">
      <alignment shrinkToFit="0" wrapText="1"/>
    </xf>
    <xf borderId="21" fillId="0" fontId="20" numFmtId="0" xfId="0" applyAlignment="1" applyBorder="1" applyFont="1">
      <alignment horizontal="center" shrinkToFit="0" wrapText="1"/>
    </xf>
    <xf borderId="21" fillId="0" fontId="20" numFmtId="0" xfId="0" applyAlignment="1" applyBorder="1" applyFont="1">
      <alignment horizontal="right" shrinkToFit="0" wrapText="1"/>
    </xf>
    <xf borderId="4" fillId="0" fontId="20" numFmtId="0" xfId="0" applyBorder="1" applyFont="1"/>
    <xf borderId="2" fillId="3" fontId="20" numFmtId="0" xfId="0" applyBorder="1" applyFont="1"/>
    <xf borderId="2" fillId="3" fontId="20" numFmtId="0" xfId="0" applyAlignment="1" applyBorder="1" applyFont="1">
      <alignment horizontal="center"/>
    </xf>
    <xf borderId="17" fillId="6" fontId="20" numFmtId="169" xfId="0" applyBorder="1" applyFont="1" applyNumberFormat="1"/>
    <xf borderId="17" fillId="6" fontId="20" numFmtId="1" xfId="0" applyBorder="1" applyFont="1" applyNumberFormat="1"/>
    <xf borderId="17" fillId="6" fontId="20" numFmtId="1" xfId="0" applyAlignment="1" applyBorder="1" applyFont="1" applyNumberFormat="1">
      <alignment horizontal="right"/>
    </xf>
    <xf borderId="2" fillId="3" fontId="20" numFmtId="164" xfId="0" applyAlignment="1" applyBorder="1" applyFont="1" applyNumberFormat="1">
      <alignment horizontal="right"/>
    </xf>
    <xf borderId="2" fillId="6" fontId="20" numFmtId="166" xfId="0" applyAlignment="1" applyBorder="1" applyFont="1" applyNumberFormat="1">
      <alignment horizontal="right"/>
    </xf>
    <xf borderId="19" fillId="3" fontId="20" numFmtId="0" xfId="0" applyBorder="1" applyFont="1"/>
    <xf borderId="19" fillId="6" fontId="20" numFmtId="0" xfId="0" applyBorder="1" applyFont="1"/>
    <xf borderId="17" fillId="6" fontId="20" numFmtId="170" xfId="0" applyBorder="1" applyFont="1" applyNumberFormat="1"/>
    <xf borderId="17" fillId="6" fontId="20" numFmtId="2" xfId="0" applyBorder="1" applyFont="1" applyNumberFormat="1"/>
    <xf borderId="17" fillId="6" fontId="20" numFmtId="2" xfId="0" applyAlignment="1" applyBorder="1" applyFont="1" applyNumberFormat="1">
      <alignment horizontal="right"/>
    </xf>
    <xf borderId="2" fillId="6" fontId="20" numFmtId="2" xfId="0" applyBorder="1" applyFont="1" applyNumberFormat="1"/>
    <xf borderId="3" fillId="6" fontId="20" numFmtId="169" xfId="0" applyBorder="1" applyFont="1" applyNumberFormat="1"/>
    <xf borderId="2" fillId="6" fontId="20" numFmtId="166" xfId="0" applyBorder="1" applyFont="1" applyNumberFormat="1"/>
    <xf borderId="3" fillId="6" fontId="20" numFmtId="166" xfId="0" applyBorder="1" applyFont="1" applyNumberFormat="1"/>
    <xf borderId="0" fillId="0" fontId="3" numFmtId="0" xfId="0" applyFont="1"/>
    <xf borderId="0" fillId="0" fontId="3" numFmtId="0" xfId="0" applyAlignment="1" applyFont="1">
      <alignment horizontal="right"/>
    </xf>
    <xf borderId="2" fillId="3" fontId="3" numFmtId="164" xfId="0" applyBorder="1" applyFont="1" applyNumberFormat="1"/>
    <xf borderId="2" fillId="3" fontId="3" numFmtId="0" xfId="0" applyBorder="1" applyFont="1"/>
    <xf borderId="1" fillId="8" fontId="3" numFmtId="0" xfId="0" applyBorder="1" applyFont="1"/>
    <xf borderId="1" fillId="8" fontId="4" numFmtId="0" xfId="0" applyBorder="1" applyFont="1"/>
    <xf borderId="2" fillId="6" fontId="3" numFmtId="164" xfId="0" applyBorder="1" applyFont="1" applyNumberFormat="1"/>
    <xf borderId="0" fillId="0" fontId="3" numFmtId="0" xfId="0" applyAlignment="1" applyFont="1">
      <alignment horizontal="left"/>
    </xf>
    <xf borderId="1" fillId="15" fontId="15" numFmtId="2" xfId="0" applyBorder="1" applyFont="1" applyNumberFormat="1"/>
    <xf borderId="1" fillId="8" fontId="15" numFmtId="0" xfId="0" applyBorder="1" applyFont="1"/>
    <xf borderId="1" fillId="8" fontId="15" numFmtId="2" xfId="0" applyBorder="1" applyFont="1" applyNumberFormat="1"/>
    <xf borderId="1" fillId="8" fontId="26" numFmtId="0" xfId="0" applyBorder="1" applyFont="1"/>
    <xf borderId="0" fillId="0" fontId="19" numFmtId="0" xfId="0" applyFont="1"/>
    <xf borderId="3" fillId="6" fontId="20" numFmtId="168" xfId="0" applyAlignment="1" applyBorder="1" applyFont="1" applyNumberFormat="1">
      <alignment horizontal="right"/>
    </xf>
    <xf borderId="2" fillId="6" fontId="20" numFmtId="168" xfId="0" applyAlignment="1" applyBorder="1" applyFont="1" applyNumberFormat="1">
      <alignment horizontal="right"/>
    </xf>
    <xf borderId="0" fillId="8" fontId="17" numFmtId="0" xfId="0" applyFont="1"/>
    <xf borderId="0" fillId="0" fontId="23" numFmtId="0" xfId="0" applyFont="1"/>
    <xf borderId="0" fillId="15" fontId="15" numFmtId="0" xfId="0" applyFont="1"/>
    <xf borderId="1" fillId="15" fontId="23" numFmtId="0" xfId="0" applyBorder="1" applyFont="1"/>
    <xf borderId="1" fillId="15" fontId="22" numFmtId="0" xfId="0" applyBorder="1" applyFont="1"/>
    <xf borderId="22" fillId="6" fontId="20" numFmtId="170" xfId="0" applyBorder="1" applyFont="1" applyNumberFormat="1"/>
    <xf borderId="2" fillId="6" fontId="20" numFmtId="169" xfId="0" applyBorder="1" applyFont="1" applyNumberFormat="1"/>
    <xf borderId="14" fillId="6" fontId="20" numFmtId="1" xfId="0" applyBorder="1" applyFont="1" applyNumberFormat="1"/>
    <xf borderId="0" fillId="0" fontId="20" numFmtId="2" xfId="0" applyFont="1" applyNumberFormat="1"/>
    <xf borderId="0" fillId="15" fontId="3" numFmtId="0" xfId="0" applyFont="1"/>
    <xf borderId="1" fillId="15" fontId="3" numFmtId="0" xfId="0" applyBorder="1" applyFont="1"/>
    <xf borderId="1" fillId="15" fontId="16" numFmtId="0" xfId="0" applyBorder="1" applyFont="1"/>
    <xf borderId="1" fillId="15" fontId="4" numFmtId="0" xfId="0" applyBorder="1" applyFont="1"/>
    <xf borderId="1" fillId="15" fontId="15" numFmtId="166"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581275"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27</xdr:row>
      <xdr:rowOff>19050</xdr:rowOff>
    </xdr:from>
    <xdr:ext cx="8905875" cy="438150"/>
    <xdr:sp>
      <xdr:nvSpPr>
        <xdr:cNvPr id="3" name="Shape 3"/>
        <xdr:cNvSpPr txBox="1"/>
      </xdr:nvSpPr>
      <xdr:spPr>
        <a:xfrm>
          <a:off x="896865" y="3561607"/>
          <a:ext cx="8898270" cy="436786"/>
        </a:xfrm>
        <a:prstGeom prst="rect">
          <a:avLst/>
        </a:prstGeom>
        <a:solidFill>
          <a:srgbClr val="CCFF99"/>
        </a:solid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Value</a:t>
          </a:r>
          <a:r>
            <a:rPr lang="en-US" sz="1100">
              <a:solidFill>
                <a:schemeClr val="dk1"/>
              </a:solidFill>
              <a:latin typeface="Calibri"/>
              <a:ea typeface="Calibri"/>
              <a:cs typeface="Calibri"/>
              <a:sym typeface="Calibri"/>
            </a:rPr>
            <a:t> per unit of for home grown feed can either be a market value that it could be sold for, or a calculated cost of production for your farm.</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 It would be best to use the same process for all feeds.  The market value method might over-value homegrown feed, depending on your cost to grow it.</a:t>
          </a:r>
          <a:endParaRPr sz="1100"/>
        </a:p>
      </xdr:txBody>
    </xdr:sp>
    <xdr:clientData fLocksWithSheet="0"/>
  </xdr:oneCellAnchor>
  <xdr:oneCellAnchor>
    <xdr:from>
      <xdr:col>1</xdr:col>
      <xdr:colOff>123825</xdr:colOff>
      <xdr:row>156</xdr:row>
      <xdr:rowOff>85725</xdr:rowOff>
    </xdr:from>
    <xdr:ext cx="9334500" cy="790575"/>
    <xdr:sp>
      <xdr:nvSpPr>
        <xdr:cNvPr id="4" name="Shape 4"/>
        <xdr:cNvSpPr txBox="1"/>
      </xdr:nvSpPr>
      <xdr:spPr>
        <a:xfrm>
          <a:off x="683513" y="3389475"/>
          <a:ext cx="9324975" cy="781050"/>
        </a:xfrm>
        <a:prstGeom prst="rect">
          <a:avLst/>
        </a:prstGeom>
        <a:solidFill>
          <a:srgbClr val="CCFF99"/>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200">
              <a:solidFill>
                <a:schemeClr val="dk1"/>
              </a:solidFill>
              <a:latin typeface="Calibri"/>
              <a:ea typeface="Calibri"/>
              <a:cs typeface="Calibri"/>
              <a:sym typeface="Calibri"/>
            </a:rPr>
            <a:t>The method used for calculating overhead expenses for Machinery</a:t>
          </a:r>
          <a:r>
            <a:rPr lang="en-US" sz="1200">
              <a:solidFill>
                <a:schemeClr val="dk1"/>
              </a:solidFill>
              <a:latin typeface="Calibri"/>
              <a:ea typeface="Calibri"/>
              <a:cs typeface="Calibri"/>
              <a:sym typeface="Calibri"/>
            </a:rPr>
            <a:t> and Buildings in this spreadsheet tool is different than standard methods used by banks and IRS for depreciation.  This methodology estimates an immediate and forward looking annual cost of ownership of these items, needed for long term sustainability of the enterprise.  This method assigns an annual cost by spreading a reasonable value for the asset out over it's useful service life.</a:t>
          </a:r>
          <a:endParaRPr sz="1200"/>
        </a:p>
      </xdr:txBody>
    </xdr:sp>
    <xdr:clientData fLocksWithSheet="0"/>
  </xdr:oneCellAnchor>
  <xdr:oneCellAnchor>
    <xdr:from>
      <xdr:col>0</xdr:col>
      <xdr:colOff>371475</xdr:colOff>
      <xdr:row>298</xdr:row>
      <xdr:rowOff>0</xdr:rowOff>
    </xdr:from>
    <xdr:ext cx="12582525" cy="285750"/>
    <xdr:sp>
      <xdr:nvSpPr>
        <xdr:cNvPr id="5" name="Shape 5"/>
        <xdr:cNvSpPr txBox="1"/>
      </xdr:nvSpPr>
      <xdr:spPr>
        <a:xfrm>
          <a:off x="0" y="3639898"/>
          <a:ext cx="10692000" cy="280205"/>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200">
              <a:solidFill>
                <a:schemeClr val="dk1"/>
              </a:solidFill>
              <a:latin typeface="Calibri"/>
              <a:ea typeface="Calibri"/>
              <a:cs typeface="Calibri"/>
              <a:sym typeface="Calibri"/>
            </a:rPr>
            <a:t>“An EEO/AA employer, University of Wisconsin Extension provides equal opportunities in employment and programming, including Title VI,  Title IX and American with Disabilities (ADA) requirements.”</a:t>
          </a:r>
          <a:endParaRPr sz="1400"/>
        </a:p>
      </xdr:txBody>
    </xdr:sp>
    <xdr:clientData fLocksWithSheet="0"/>
  </xdr:oneCellAnchor>
  <xdr:oneCellAnchor>
    <xdr:from>
      <xdr:col>0</xdr:col>
      <xdr:colOff>0</xdr:colOff>
      <xdr:row>0</xdr:row>
      <xdr:rowOff>0</xdr:rowOff>
    </xdr:from>
    <xdr:ext cx="2705100" cy="723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5</xdr:row>
      <xdr:rowOff>104775</xdr:rowOff>
    </xdr:from>
    <xdr:ext cx="6296025" cy="19345275"/>
    <xdr:sp>
      <xdr:nvSpPr>
        <xdr:cNvPr id="6" name="Shape 6"/>
        <xdr:cNvSpPr txBox="1"/>
      </xdr:nvSpPr>
      <xdr:spPr>
        <a:xfrm>
          <a:off x="2202750" y="0"/>
          <a:ext cx="6286500" cy="75600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marR="0" rtl="0" algn="l">
            <a:lnSpc>
              <a:spcPct val="107000"/>
            </a:lnSpc>
            <a:spcBef>
              <a:spcPts val="0"/>
            </a:spcBef>
            <a:spcAft>
              <a:spcPts val="0"/>
            </a:spcAft>
            <a:buNone/>
          </a:pPr>
          <a:r>
            <a:rPr b="1" lang="en-US" sz="1100">
              <a:solidFill>
                <a:schemeClr val="dk1"/>
              </a:solidFill>
              <a:latin typeface="Calibri"/>
              <a:ea typeface="Calibri"/>
              <a:cs typeface="Calibri"/>
              <a:sym typeface="Calibri"/>
            </a:rPr>
            <a:t>Directions for the Drylot Lamb Finishing Budget Spreadsheet</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This Enterprise budget spreadsheet is intended to be a practical approach for producers to evaluate profitability of their drylot lamb finishing enterprise.  It may also be used to assist with estimating projections for future years or changes to the enterprise.</a:t>
          </a:r>
          <a:endParaRPr sz="1400"/>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The cells that are </a:t>
          </a:r>
          <a:r>
            <a:rPr i="1" lang="en-US" sz="1100" u="sng">
              <a:solidFill>
                <a:schemeClr val="dk1"/>
              </a:solidFill>
              <a:latin typeface="Calibri"/>
              <a:ea typeface="Calibri"/>
              <a:cs typeface="Calibri"/>
              <a:sym typeface="Calibri"/>
            </a:rPr>
            <a:t>light blue in color can be edited by the user</a:t>
          </a:r>
          <a:r>
            <a:rPr lang="en-US" sz="1100">
              <a:solidFill>
                <a:schemeClr val="dk1"/>
              </a:solidFill>
              <a:latin typeface="Calibri"/>
              <a:ea typeface="Calibri"/>
              <a:cs typeface="Calibri"/>
              <a:sym typeface="Calibri"/>
            </a:rPr>
            <a:t>.  Cells that are yellow are calculated from user inputs and cannot be edited by the user.  Green boxes on the spreadsheet contain helpful hints and provide additional information. The enterprise budget calculates revenue and expenses on a per head and per-group basis.  </a:t>
          </a:r>
          <a:endParaRPr sz="1400"/>
        </a:p>
        <a:p>
          <a:pPr indent="0" lvl="0" marL="0" marR="0" rtl="0" algn="l">
            <a:lnSpc>
              <a:spcPct val="107000"/>
            </a:lnSpc>
            <a:spcBef>
              <a:spcPts val="800"/>
            </a:spcBef>
            <a:spcAft>
              <a:spcPts val="0"/>
            </a:spcAft>
            <a:buNone/>
          </a:pPr>
          <a:r>
            <a:rPr b="1" lang="en-US" sz="1100">
              <a:solidFill>
                <a:schemeClr val="dk1"/>
              </a:solidFill>
              <a:latin typeface="Calibri"/>
              <a:ea typeface="Calibri"/>
              <a:cs typeface="Calibri"/>
              <a:sym typeface="Calibri"/>
            </a:rPr>
            <a:t>The accuracy of the information generated is only as good as the information entered to calculate it.   </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If you encounter any problems with the spreadsheet, contact Carolyn Ihde at carolyn.ihde@wisc.edu, Amanda Cauffman at amanda.cauffman@wisc.edu, Bill Halfman at </a:t>
          </a:r>
          <a:r>
            <a:rPr lang="en-US" sz="1100" u="sng">
              <a:solidFill>
                <a:srgbClr val="0563C1"/>
              </a:solidFill>
              <a:latin typeface="Calibri"/>
              <a:ea typeface="Calibri"/>
              <a:cs typeface="Calibri"/>
              <a:sym typeface="Calibri"/>
            </a:rPr>
            <a:t>william.halfman@wisc.edu</a:t>
          </a:r>
          <a:r>
            <a:rPr lang="en-US" sz="1100">
              <a:solidFill>
                <a:schemeClr val="dk1"/>
              </a:solidFill>
              <a:latin typeface="Calibri"/>
              <a:ea typeface="Calibri"/>
              <a:cs typeface="Calibri"/>
              <a:sym typeface="Calibri"/>
            </a:rPr>
            <a:t>, or Dr. Brenda Boetel at </a:t>
          </a:r>
          <a:r>
            <a:rPr lang="en-US" sz="1100" u="sng">
              <a:solidFill>
                <a:schemeClr val="dk1"/>
              </a:solidFill>
              <a:latin typeface="Calibri"/>
              <a:ea typeface="Calibri"/>
              <a:cs typeface="Calibri"/>
              <a:sym typeface="Calibri"/>
            </a:rPr>
            <a:t>brenda.boetel@uwrf.edu</a:t>
          </a:r>
          <a:r>
            <a:rPr lang="en-US" sz="1100">
              <a:solidFill>
                <a:schemeClr val="dk1"/>
              </a:solidFill>
              <a:latin typeface="Calibri"/>
              <a:ea typeface="Calibri"/>
              <a:cs typeface="Calibri"/>
              <a:sym typeface="Calibri"/>
            </a:rPr>
            <a:t>. The following directions will cover each spreadsheet section and provide some guidelines and explanations for entering data.</a:t>
          </a:r>
          <a:endParaRPr sz="1400"/>
        </a:p>
        <a:p>
          <a:pPr indent="0" lvl="0" marL="0" marR="0" rtl="0" algn="l">
            <a:lnSpc>
              <a:spcPct val="107000"/>
            </a:lnSpc>
            <a:spcBef>
              <a:spcPts val="800"/>
            </a:spcBef>
            <a:spcAft>
              <a:spcPts val="0"/>
            </a:spcAft>
            <a:buNone/>
          </a:pPr>
          <a:r>
            <a:rPr b="1" lang="en-US" sz="1100">
              <a:solidFill>
                <a:schemeClr val="dk1"/>
              </a:solidFill>
              <a:latin typeface="Calibri"/>
              <a:ea typeface="Calibri"/>
              <a:cs typeface="Calibri"/>
              <a:sym typeface="Calibri"/>
            </a:rPr>
            <a:t>Revenue</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In the revenue section, the user enters the projected/estimated sale date, live weight, sale price of the lambs, and the number of head in the group. There is a line to enter pounds of wool per head and a price for the wool if the lambs are sheared prior to sale. An “Other” income line is also included for LDP payments or other potential revenue.</a:t>
          </a:r>
          <a:endParaRPr sz="1400"/>
        </a:p>
        <a:p>
          <a:pPr indent="0" lvl="0" marL="0" marR="0" rtl="0" algn="l">
            <a:lnSpc>
              <a:spcPct val="107000"/>
            </a:lnSpc>
            <a:spcBef>
              <a:spcPts val="800"/>
            </a:spcBef>
            <a:spcAft>
              <a:spcPts val="0"/>
            </a:spcAft>
            <a:buNone/>
          </a:pPr>
          <a:r>
            <a:rPr b="1" lang="en-US" sz="1100">
              <a:solidFill>
                <a:schemeClr val="dk1"/>
              </a:solidFill>
              <a:latin typeface="Calibri"/>
              <a:ea typeface="Calibri"/>
              <a:cs typeface="Calibri"/>
              <a:sym typeface="Calibri"/>
            </a:rPr>
            <a:t>Expenses</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i="1" lang="en-US" sz="1100">
              <a:solidFill>
                <a:schemeClr val="dk1"/>
              </a:solidFill>
              <a:latin typeface="Calibri"/>
              <a:ea typeface="Calibri"/>
              <a:cs typeface="Calibri"/>
              <a:sym typeface="Calibri"/>
            </a:rPr>
            <a:t>Feeder lamb cost/value</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In the first section of the expenses, the user enters the projected/estimated start date, starting weight, and cost of the feeder lambs.  If the lambs are home raised, an opportunity cost of what they could be sold for as feeders should be used.  The user will need to enter in a total number of lambs in the group.</a:t>
          </a:r>
          <a:endParaRPr sz="1400"/>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From the information collected at this time, an estimate of total pounds gained, days on feed, and average daily gain are calculated.  The feed to gain value is calculated after the feed information is entered on the </a:t>
          </a:r>
          <a:r>
            <a:rPr b="1" lang="en-US" sz="1100">
              <a:solidFill>
                <a:schemeClr val="dk1"/>
              </a:solidFill>
              <a:latin typeface="Calibri"/>
              <a:ea typeface="Calibri"/>
              <a:cs typeface="Calibri"/>
              <a:sym typeface="Calibri"/>
            </a:rPr>
            <a:t>“Drylot Lamb Finishing Feed Cost Sheet”.</a:t>
          </a:r>
          <a:r>
            <a:rPr lang="en-US" sz="1100">
              <a:solidFill>
                <a:schemeClr val="dk1"/>
              </a:solidFill>
              <a:latin typeface="Calibri"/>
              <a:ea typeface="Calibri"/>
              <a:cs typeface="Calibri"/>
              <a:sym typeface="Calibri"/>
            </a:rPr>
            <a:t>  Look for the tab with this title at the bottom of the spreadsheet file.</a:t>
          </a:r>
          <a:endParaRPr sz="1400"/>
        </a:p>
        <a:p>
          <a:pPr indent="0" lvl="0" marL="0" marR="0" rtl="0" algn="l">
            <a:lnSpc>
              <a:spcPct val="107000"/>
            </a:lnSpc>
            <a:spcBef>
              <a:spcPts val="800"/>
            </a:spcBef>
            <a:spcAft>
              <a:spcPts val="0"/>
            </a:spcAft>
            <a:buNone/>
          </a:pPr>
          <a:r>
            <a:rPr i="1" lang="en-US" sz="1100">
              <a:solidFill>
                <a:schemeClr val="dk1"/>
              </a:solidFill>
              <a:latin typeface="Calibri"/>
              <a:ea typeface="Calibri"/>
              <a:cs typeface="Calibri"/>
              <a:sym typeface="Calibri"/>
            </a:rPr>
            <a:t>Feed Costs</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Feed costs are entered in the </a:t>
          </a:r>
          <a:r>
            <a:rPr b="1" lang="en-US" sz="1100">
              <a:solidFill>
                <a:schemeClr val="dk1"/>
              </a:solidFill>
              <a:latin typeface="Calibri"/>
              <a:ea typeface="Calibri"/>
              <a:cs typeface="Calibri"/>
              <a:sym typeface="Calibri"/>
            </a:rPr>
            <a:t>“Drylot Lamb Finishing Feed Cost Sheet” </a:t>
          </a:r>
          <a:r>
            <a:rPr lang="en-US" sz="1100">
              <a:solidFill>
                <a:schemeClr val="dk1"/>
              </a:solidFill>
              <a:latin typeface="Calibri"/>
              <a:ea typeface="Calibri"/>
              <a:cs typeface="Calibri"/>
              <a:sym typeface="Calibri"/>
            </a:rPr>
            <a:t>as stated above.  The user enters the average daily amounts of feed delivered to the sheep over the duration of the feeding period.  If available, previous year’s feed amounts of each feed typically used to finish their lambs can be used to fine-tune the daily feed usage by the lambs.  </a:t>
          </a:r>
          <a:endParaRPr sz="1400"/>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It is important to account for feed on a “feed delivered” basis to account for feeding loss due to feeder style and picking/sorting of feed by lambs. Remember, if the feed is delivered, it is a cost incurred by the group. Users may also want to consider storage loss. A storage loss factor can be added to the amount of feed delivered to the lambs.  </a:t>
          </a:r>
          <a:endParaRPr sz="1400"/>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There are additional calculators at the bottom of the feed entry table to assist with converting the price per bag and price per bushel to a price per ton basis for the table.</a:t>
          </a:r>
          <a:endParaRPr sz="1400"/>
        </a:p>
        <a:p>
          <a:pPr indent="0" lvl="0" marL="0" marR="0" rtl="0" algn="l">
            <a:lnSpc>
              <a:spcPct val="107000"/>
            </a:lnSpc>
            <a:spcBef>
              <a:spcPts val="800"/>
            </a:spcBef>
            <a:spcAft>
              <a:spcPts val="0"/>
            </a:spcAft>
            <a:buNone/>
          </a:pPr>
          <a:r>
            <a:rPr b="1" lang="en-US" sz="1100">
              <a:solidFill>
                <a:schemeClr val="dk1"/>
              </a:solidFill>
              <a:latin typeface="Calibri"/>
              <a:ea typeface="Calibri"/>
              <a:cs typeface="Calibri"/>
              <a:sym typeface="Calibri"/>
            </a:rPr>
            <a:t>Please note:  </a:t>
          </a:r>
          <a:r>
            <a:rPr lang="en-US" sz="1100">
              <a:solidFill>
                <a:schemeClr val="dk1"/>
              </a:solidFill>
              <a:latin typeface="Calibri"/>
              <a:ea typeface="Calibri"/>
              <a:cs typeface="Calibri"/>
              <a:sym typeface="Calibri"/>
            </a:rPr>
            <a:t>The feed cost summary information is automatically entered into the lamb finishing budget spreadsheet.</a:t>
          </a:r>
          <a:endParaRPr sz="1400"/>
        </a:p>
        <a:p>
          <a:pPr indent="0" lvl="0" marL="0" marR="0" rtl="0" algn="l">
            <a:lnSpc>
              <a:spcPct val="107000"/>
            </a:lnSpc>
            <a:spcBef>
              <a:spcPts val="800"/>
            </a:spcBef>
            <a:spcAft>
              <a:spcPts val="0"/>
            </a:spcAft>
            <a:buNone/>
          </a:pPr>
          <a:r>
            <a:rPr i="1" lang="en-US" sz="1100">
              <a:solidFill>
                <a:schemeClr val="dk1"/>
              </a:solidFill>
              <a:latin typeface="Calibri"/>
              <a:ea typeface="Calibri"/>
              <a:cs typeface="Calibri"/>
              <a:sym typeface="Calibri"/>
            </a:rPr>
            <a:t>Veterinary, Pharmaceutical, and Health Costs</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In this section of expenses, the user enters the costs or expected costs for the whole group, and the spreadsheet will calculate cost on a per head basis.  </a:t>
          </a:r>
          <a:endParaRPr sz="1400"/>
        </a:p>
        <a:p>
          <a:pPr indent="0" lvl="0" marL="0" marR="0" rtl="0" algn="l">
            <a:lnSpc>
              <a:spcPct val="107000"/>
            </a:lnSpc>
            <a:spcBef>
              <a:spcPts val="800"/>
            </a:spcBef>
            <a:spcAft>
              <a:spcPts val="0"/>
            </a:spcAft>
            <a:buNone/>
          </a:pPr>
          <a:r>
            <a:rPr i="1" lang="en-US" sz="1100">
              <a:solidFill>
                <a:schemeClr val="dk1"/>
              </a:solidFill>
              <a:latin typeface="Calibri"/>
              <a:ea typeface="Calibri"/>
              <a:cs typeface="Calibri"/>
              <a:sym typeface="Calibri"/>
            </a:rPr>
            <a:t>Other Expenses</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The “Other Expenses” section contains several expenses common to a lamb finishing enterprise.  Most of the per head costs are calculated when the user enters in the cost for the entire group.  </a:t>
          </a:r>
          <a:endParaRPr sz="1400"/>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To determine the death loss expense, the user enters the group's expected percent death loss.  Interest expense on both the feeder lambs and feed costs are calculated in this section.  It is assumed that 100% of these costs are borrowed, and either an operating loan interest rate can be used, or if the user is self-funding, then an opportunity cost interest rate they could earn if that money were in savings can be used.</a:t>
          </a:r>
          <a:endParaRPr sz="1400"/>
        </a:p>
        <a:p>
          <a:pPr indent="0" lvl="0" marL="0" marR="0" rtl="0" algn="l">
            <a:lnSpc>
              <a:spcPct val="107000"/>
            </a:lnSpc>
            <a:spcBef>
              <a:spcPts val="800"/>
            </a:spcBef>
            <a:spcAft>
              <a:spcPts val="0"/>
            </a:spcAft>
            <a:buNone/>
          </a:pPr>
          <a:r>
            <a:rPr i="1" lang="en-US" sz="1100">
              <a:solidFill>
                <a:schemeClr val="dk1"/>
              </a:solidFill>
              <a:latin typeface="Calibri"/>
              <a:ea typeface="Calibri"/>
              <a:cs typeface="Calibri"/>
              <a:sym typeface="Calibri"/>
            </a:rPr>
            <a:t>Yardage</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UW Extension has a separate yardage spreadsheet available that will work for a lamb feeding enterprise.  It is available at this webpage: </a:t>
          </a:r>
          <a:r>
            <a:rPr lang="en-US" sz="1100" u="sng">
              <a:solidFill>
                <a:srgbClr val="0563C1"/>
              </a:solidFill>
              <a:latin typeface="Calibri"/>
              <a:ea typeface="Calibri"/>
              <a:cs typeface="Calibri"/>
              <a:sym typeface="Calibri"/>
            </a:rPr>
            <a:t>https://livestock.extension.wisc.edu/article-topic/decision-tools-and-software/</a:t>
          </a:r>
          <a:r>
            <a:rPr lang="en-US" sz="1100">
              <a:solidFill>
                <a:schemeClr val="dk1"/>
              </a:solidFill>
              <a:latin typeface="Calibri"/>
              <a:ea typeface="Calibri"/>
              <a:cs typeface="Calibri"/>
              <a:sym typeface="Calibri"/>
            </a:rPr>
            <a:t> .  There is no standard definition of the non-fixed costs that must be included in yardage.</a:t>
          </a:r>
          <a:endParaRPr sz="1400"/>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In this spreadsheet tool, the yardage should include the fixed costs the sheep are expected to pay of taxes, insurance, depreciation, and interest on long-term assets (buildings, machinery, and equipment) and non-fixed costs of fuel, utilities, office, repairs, and miscellaneous expenses. This spreadsheet has bedding, transportation and veterinary expenses on separate lines. The summary section contains a return to labor and management line; therefore, the user may include paid labor and management in yardage, then the return to labor and management line is the return to the owner's unpaid labor and management.  </a:t>
          </a:r>
          <a:endParaRPr sz="1400"/>
        </a:p>
        <a:p>
          <a:pPr indent="0" lvl="0" marL="0" marR="0" rtl="0" algn="l">
            <a:lnSpc>
              <a:spcPct val="107000"/>
            </a:lnSpc>
            <a:spcBef>
              <a:spcPts val="800"/>
            </a:spcBef>
            <a:spcAft>
              <a:spcPts val="0"/>
            </a:spcAft>
            <a:buNone/>
          </a:pPr>
          <a:r>
            <a:rPr i="1" lang="en-US" sz="1100">
              <a:solidFill>
                <a:schemeClr val="dk1"/>
              </a:solidFill>
              <a:latin typeface="Calibri"/>
              <a:ea typeface="Calibri"/>
              <a:cs typeface="Calibri"/>
              <a:sym typeface="Calibri"/>
            </a:rPr>
            <a:t>Cost per Pound of Gain</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Cost per pound of gain is calculated from user inputs to determine the costs per pound the animal gains during the feeding period.  Cost per pound of gain is for the pounds that the animal gains during the feeding/finishing time.  It does not include the feeder price or the cost of gain for weight gained before the beginning date.</a:t>
          </a:r>
          <a:endParaRPr sz="1400"/>
        </a:p>
        <a:p>
          <a:pPr indent="0" lvl="0" marL="0" marR="0" rtl="0" algn="l">
            <a:lnSpc>
              <a:spcPct val="107000"/>
            </a:lnSpc>
            <a:spcBef>
              <a:spcPts val="800"/>
            </a:spcBef>
            <a:spcAft>
              <a:spcPts val="0"/>
            </a:spcAft>
            <a:buNone/>
          </a:pPr>
          <a:r>
            <a:rPr i="1" lang="en-US" sz="1100">
              <a:solidFill>
                <a:schemeClr val="dk1"/>
              </a:solidFill>
              <a:latin typeface="Calibri"/>
              <a:ea typeface="Calibri"/>
              <a:cs typeface="Calibri"/>
              <a:sym typeface="Calibri"/>
            </a:rPr>
            <a:t>Return to Resources </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The “Return to Resources” section summarizes income and returns to the various resources as different expenses are then accounted for.</a:t>
          </a:r>
          <a:endParaRPr sz="1400"/>
        </a:p>
        <a:p>
          <a:pPr indent="0" lvl="0" marL="0" marR="0" rtl="0" algn="l">
            <a:lnSpc>
              <a:spcPct val="107000"/>
            </a:lnSpc>
            <a:spcBef>
              <a:spcPts val="800"/>
            </a:spcBef>
            <a:spcAft>
              <a:spcPts val="0"/>
            </a:spcAft>
            <a:buNone/>
          </a:pPr>
          <a:r>
            <a:rPr i="1" lang="en-US" sz="1100">
              <a:solidFill>
                <a:schemeClr val="dk1"/>
              </a:solidFill>
              <a:latin typeface="Calibri"/>
              <a:ea typeface="Calibri"/>
              <a:cs typeface="Calibri"/>
              <a:sym typeface="Calibri"/>
            </a:rPr>
            <a:t> Breakeven Analysis</a:t>
          </a:r>
          <a:endParaRPr sz="1100">
            <a:latin typeface="Calibri"/>
            <a:ea typeface="Calibri"/>
            <a:cs typeface="Calibri"/>
            <a:sym typeface="Calibri"/>
          </a:endParaRPr>
        </a:p>
        <a:p>
          <a:pPr indent="0" lvl="0" marL="0" marR="0" rtl="0" algn="l">
            <a:lnSpc>
              <a:spcPct val="107000"/>
            </a:lnSpc>
            <a:spcBef>
              <a:spcPts val="800"/>
            </a:spcBef>
            <a:spcAft>
              <a:spcPts val="0"/>
            </a:spcAft>
            <a:buNone/>
          </a:pPr>
          <a:r>
            <a:rPr lang="en-US" sz="1100">
              <a:solidFill>
                <a:schemeClr val="dk1"/>
              </a:solidFill>
              <a:latin typeface="Calibri"/>
              <a:ea typeface="Calibri"/>
              <a:cs typeface="Calibri"/>
              <a:sym typeface="Calibri"/>
            </a:rPr>
            <a:t>The “Breakeven Analysis” calculates what the sale price would have to be for finished lambs to cover the expenses entered in the budget, the feeder price that could be paid, and results in all expenses covered based on estimated sale price in the budget.</a:t>
          </a:r>
          <a:endParaRPr sz="1400"/>
        </a:p>
        <a:p>
          <a:pPr indent="0" lvl="0" marL="0" rtl="0" algn="l">
            <a:spcBef>
              <a:spcPts val="0"/>
            </a:spcBef>
            <a:spcAft>
              <a:spcPts val="0"/>
            </a:spcAft>
            <a:buNone/>
          </a:pPr>
          <a:r>
            <a:t/>
          </a:r>
          <a:endParaRPr sz="1100"/>
        </a:p>
      </xdr:txBody>
    </xdr:sp>
    <xdr:clientData fLocksWithSheet="0"/>
  </xdr:oneCellAnchor>
  <xdr:oneCellAnchor>
    <xdr:from>
      <xdr:col>0</xdr:col>
      <xdr:colOff>0</xdr:colOff>
      <xdr:row>0</xdr:row>
      <xdr:rowOff>0</xdr:rowOff>
    </xdr:from>
    <xdr:ext cx="2466975" cy="704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79</xdr:row>
      <xdr:rowOff>9525</xdr:rowOff>
    </xdr:from>
    <xdr:ext cx="6010275" cy="2000250"/>
    <xdr:sp>
      <xdr:nvSpPr>
        <xdr:cNvPr id="7" name="Shape 7"/>
        <xdr:cNvSpPr txBox="1"/>
      </xdr:nvSpPr>
      <xdr:spPr>
        <a:xfrm>
          <a:off x="2345625" y="2779875"/>
          <a:ext cx="6000750" cy="2000250"/>
        </a:xfrm>
        <a:prstGeom prst="rect">
          <a:avLst/>
        </a:prstGeom>
        <a:solidFill>
          <a:srgbClr val="A0F395"/>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To the right is a sensitivity analysis table that compares changes in breakeven price and changes in feed cost per pound</a:t>
          </a:r>
          <a:r>
            <a:rPr lang="en-US" sz="1100">
              <a:solidFill>
                <a:schemeClr val="dk1"/>
              </a:solidFill>
              <a:latin typeface="Calibri"/>
              <a:ea typeface="Calibri"/>
              <a:cs typeface="Calibri"/>
              <a:sym typeface="Calibri"/>
            </a:rPr>
            <a:t> of lamb sold (this is not the same as feed cost per pound of gain, see below for explanation) to illustrate how these changes will impact the breakeven price on a per pound of lamb sold.</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The user may change the percentages that the table calculates.</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Feed cost per pound of lamb sold divides feed cost over the sale weight of the lamb.  Feed cost per pound of gain divides feed cost over the pounds the lamb gains during the duration of the feedout timeframe.</a:t>
          </a:r>
          <a:endParaRPr sz="1100"/>
        </a:p>
      </xdr:txBody>
    </xdr:sp>
    <xdr:clientData fLocksWithSheet="0"/>
  </xdr:oneCellAnchor>
  <xdr:oneCellAnchor>
    <xdr:from>
      <xdr:col>1</xdr:col>
      <xdr:colOff>0</xdr:colOff>
      <xdr:row>95</xdr:row>
      <xdr:rowOff>0</xdr:rowOff>
    </xdr:from>
    <xdr:ext cx="12582525" cy="285750"/>
    <xdr:sp>
      <xdr:nvSpPr>
        <xdr:cNvPr id="8" name="Shape 8"/>
        <xdr:cNvSpPr txBox="1"/>
      </xdr:nvSpPr>
      <xdr:spPr>
        <a:xfrm>
          <a:off x="0" y="3639898"/>
          <a:ext cx="10692000" cy="280205"/>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200">
              <a:solidFill>
                <a:schemeClr val="dk1"/>
              </a:solidFill>
              <a:latin typeface="Calibri"/>
              <a:ea typeface="Calibri"/>
              <a:cs typeface="Calibri"/>
              <a:sym typeface="Calibri"/>
            </a:rPr>
            <a:t>“An EEO/AA employer, University of Wisconsin Extension provides equal opportunities in employment and programming, including Title VI,  Title IX and American with Disabilities (ADA) requirements.”</a:t>
          </a:r>
          <a:endParaRPr sz="1400"/>
        </a:p>
      </xdr:txBody>
    </xdr:sp>
    <xdr:clientData fLocksWithSheet="0"/>
  </xdr:oneCellAnchor>
  <xdr:oneCellAnchor>
    <xdr:from>
      <xdr:col>0</xdr:col>
      <xdr:colOff>47625</xdr:colOff>
      <xdr:row>0</xdr:row>
      <xdr:rowOff>57150</xdr:rowOff>
    </xdr:from>
    <xdr:ext cx="2695575" cy="704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67000"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7</xdr:row>
      <xdr:rowOff>0</xdr:rowOff>
    </xdr:from>
    <xdr:ext cx="6477000" cy="19107150"/>
    <xdr:sp>
      <xdr:nvSpPr>
        <xdr:cNvPr id="9" name="Shape 9"/>
        <xdr:cNvSpPr txBox="1"/>
      </xdr:nvSpPr>
      <xdr:spPr>
        <a:xfrm>
          <a:off x="2107500" y="0"/>
          <a:ext cx="6477000" cy="75600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Calibri"/>
              <a:ea typeface="Calibri"/>
              <a:cs typeface="Calibri"/>
              <a:sym typeface="Calibri"/>
            </a:rPr>
            <a:t>Directions for the Pasture Lamb Finishing Budget Spreadsheet</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This Enterprise budget spreadsheet is intended to be a practical approach for producers to evaluate profitability of their drylot lamb finishing enterprise.  It may also be used to assist with estimating projections for future years or changes to the enterprise.</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The cells that are </a:t>
          </a:r>
          <a:r>
            <a:rPr i="1" lang="en-US" sz="1100" u="sng">
              <a:solidFill>
                <a:schemeClr val="dk1"/>
              </a:solidFill>
              <a:latin typeface="Calibri"/>
              <a:ea typeface="Calibri"/>
              <a:cs typeface="Calibri"/>
              <a:sym typeface="Calibri"/>
            </a:rPr>
            <a:t>light blue in color can be edited by the user</a:t>
          </a:r>
          <a:r>
            <a:rPr lang="en-US" sz="1100">
              <a:solidFill>
                <a:schemeClr val="dk1"/>
              </a:solidFill>
              <a:latin typeface="Calibri"/>
              <a:ea typeface="Calibri"/>
              <a:cs typeface="Calibri"/>
              <a:sym typeface="Calibri"/>
            </a:rPr>
            <a:t>.  Cells that are yellow are calculated from user inputs and cannot be edited by the user.  Green boxes on the spreadsheet contain helpful hints and provide additional information. The enterprise budget calculates revenue and expenses on a per head and per-group basis.  </a:t>
          </a:r>
          <a:endParaRPr sz="1400"/>
        </a:p>
        <a:p>
          <a:pPr indent="0" lvl="0" marL="0" rtl="0" algn="l">
            <a:spcBef>
              <a:spcPts val="0"/>
            </a:spcBef>
            <a:spcAft>
              <a:spcPts val="0"/>
            </a:spcAft>
            <a:buNone/>
          </a:pPr>
          <a:r>
            <a:rPr b="1" lang="en-US" sz="1100">
              <a:solidFill>
                <a:schemeClr val="dk1"/>
              </a:solidFill>
              <a:latin typeface="Calibri"/>
              <a:ea typeface="Calibri"/>
              <a:cs typeface="Calibri"/>
              <a:sym typeface="Calibri"/>
            </a:rPr>
            <a:t>The accuracy of the information generated is only as good as the information entered to calculate it.   </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If you encounter any problems with the spreadsheet, contact Carolyn Ihde at carolyn.ihde@wisc.edu, Amanda Cauffman at amanda.cauffman@wisc.edu, Bill Halfman at </a:t>
          </a:r>
          <a:r>
            <a:rPr lang="en-US" sz="1100" u="sng">
              <a:solidFill>
                <a:schemeClr val="dk1"/>
              </a:solidFill>
              <a:latin typeface="Calibri"/>
              <a:ea typeface="Calibri"/>
              <a:cs typeface="Calibri"/>
              <a:sym typeface="Calibri"/>
            </a:rPr>
            <a:t>william.halfman@wisc.edu</a:t>
          </a:r>
          <a:r>
            <a:rPr lang="en-US" sz="1100">
              <a:solidFill>
                <a:schemeClr val="dk1"/>
              </a:solidFill>
              <a:latin typeface="Calibri"/>
              <a:ea typeface="Calibri"/>
              <a:cs typeface="Calibri"/>
              <a:sym typeface="Calibri"/>
            </a:rPr>
            <a:t>, or Dr. Brenda Boetel at </a:t>
          </a:r>
          <a:r>
            <a:rPr lang="en-US" sz="1100" u="sng">
              <a:solidFill>
                <a:schemeClr val="dk1"/>
              </a:solidFill>
              <a:latin typeface="Calibri"/>
              <a:ea typeface="Calibri"/>
              <a:cs typeface="Calibri"/>
              <a:sym typeface="Calibri"/>
            </a:rPr>
            <a:t>brenda.boetel@uwrf.edu</a:t>
          </a:r>
          <a:r>
            <a:rPr lang="en-US" sz="1100">
              <a:solidFill>
                <a:schemeClr val="dk1"/>
              </a:solidFill>
              <a:latin typeface="Calibri"/>
              <a:ea typeface="Calibri"/>
              <a:cs typeface="Calibri"/>
              <a:sym typeface="Calibri"/>
            </a:rPr>
            <a:t>. The following directions will cover each spreadsheet section and provide some guidelines and explanations for entering data.</a:t>
          </a:r>
          <a:endParaRPr sz="1400"/>
        </a:p>
        <a:p>
          <a:pPr indent="0" lvl="0" marL="0" rtl="0" algn="l">
            <a:spcBef>
              <a:spcPts val="0"/>
            </a:spcBef>
            <a:spcAft>
              <a:spcPts val="0"/>
            </a:spcAft>
            <a:buNone/>
          </a:pPr>
          <a:r>
            <a:rPr b="1" lang="en-US" sz="1100">
              <a:solidFill>
                <a:schemeClr val="dk1"/>
              </a:solidFill>
              <a:latin typeface="Calibri"/>
              <a:ea typeface="Calibri"/>
              <a:cs typeface="Calibri"/>
              <a:sym typeface="Calibri"/>
            </a:rPr>
            <a:t>Revenue</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In the revenue section, the user enters the projected/estimated sale date, live weight, sale price of the lambs, and the number of head in the group. There is a line to enter pounds of wool per head and a price for the wool if the lambs are sheared prior to sale. An “Other” income line is also included for LDP payments or other potential revenue.</a:t>
          </a:r>
          <a:endParaRPr sz="1400"/>
        </a:p>
        <a:p>
          <a:pPr indent="0" lvl="0" marL="0" rtl="0" algn="l">
            <a:spcBef>
              <a:spcPts val="0"/>
            </a:spcBef>
            <a:spcAft>
              <a:spcPts val="0"/>
            </a:spcAft>
            <a:buNone/>
          </a:pPr>
          <a:r>
            <a:rPr b="1" lang="en-US" sz="1100">
              <a:solidFill>
                <a:schemeClr val="dk1"/>
              </a:solidFill>
              <a:latin typeface="Calibri"/>
              <a:ea typeface="Calibri"/>
              <a:cs typeface="Calibri"/>
              <a:sym typeface="Calibri"/>
            </a:rPr>
            <a:t>Expenses</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i="1" lang="en-US" sz="1100">
              <a:solidFill>
                <a:schemeClr val="dk1"/>
              </a:solidFill>
              <a:latin typeface="Calibri"/>
              <a:ea typeface="Calibri"/>
              <a:cs typeface="Calibri"/>
              <a:sym typeface="Calibri"/>
            </a:rPr>
            <a:t>Feeder lamb cost/value</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In the first section of the expenses, the user enters the projected/estimated start date, starting weight, and cost of the feeder lambs.  If the lambs are home raised, an opportunity cost of what they could be sold for as feeders should be used.  The user will need to enter in a total number of lambs in the group.</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From the information collected at this time, an estimate of total pounds gained, days on feed, and average daily gain are calculated.  The feed to gain value is calculated after the feed information is entered on the </a:t>
          </a:r>
          <a:r>
            <a:rPr b="1" lang="en-US" sz="1100">
              <a:solidFill>
                <a:schemeClr val="dk1"/>
              </a:solidFill>
              <a:latin typeface="Calibri"/>
              <a:ea typeface="Calibri"/>
              <a:cs typeface="Calibri"/>
              <a:sym typeface="Calibri"/>
            </a:rPr>
            <a:t>“Drylot Lamb Finishing Feed Cost Sheet”.</a:t>
          </a:r>
          <a:r>
            <a:rPr lang="en-US" sz="1100">
              <a:solidFill>
                <a:schemeClr val="dk1"/>
              </a:solidFill>
              <a:latin typeface="Calibri"/>
              <a:ea typeface="Calibri"/>
              <a:cs typeface="Calibri"/>
              <a:sym typeface="Calibri"/>
            </a:rPr>
            <a:t>  Look for the tab with this title at the bottom of the spreadsheet file.</a:t>
          </a:r>
          <a:endParaRPr sz="1400"/>
        </a:p>
        <a:p>
          <a:pPr indent="0" lvl="0" marL="0" rtl="0" algn="l">
            <a:spcBef>
              <a:spcPts val="0"/>
            </a:spcBef>
            <a:spcAft>
              <a:spcPts val="0"/>
            </a:spcAft>
            <a:buNone/>
          </a:pPr>
          <a:r>
            <a:t/>
          </a:r>
          <a:endParaRPr i="1" sz="1100">
            <a:solidFill>
              <a:schemeClr val="dk1"/>
            </a:solidFill>
            <a:latin typeface="Calibri"/>
            <a:ea typeface="Calibri"/>
            <a:cs typeface="Calibri"/>
            <a:sym typeface="Calibri"/>
          </a:endParaRPr>
        </a:p>
        <a:p>
          <a:pPr indent="0" lvl="0" marL="0" rtl="0" algn="l">
            <a:spcBef>
              <a:spcPts val="0"/>
            </a:spcBef>
            <a:spcAft>
              <a:spcPts val="0"/>
            </a:spcAft>
            <a:buNone/>
          </a:pPr>
          <a:r>
            <a:rPr i="1" lang="en-US" sz="1100">
              <a:solidFill>
                <a:schemeClr val="dk1"/>
              </a:solidFill>
              <a:latin typeface="Calibri"/>
              <a:ea typeface="Calibri"/>
              <a:cs typeface="Calibri"/>
              <a:sym typeface="Calibri"/>
            </a:rPr>
            <a:t>Pasture Expenses</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Pasture expenses start with listing the number of acres that the lambs will be out on during the finishing period.  The user then can enter a per acre pasture rental rate equal to what the pasture could be rented out for if it is owned pasture, or the actual amount per acre the pasture is rented for if it is rented pasture.  It is important to be practical about the opportunity costs entered for owned pasture.</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The next section of pasture costs including seed, fertilizer, fencing and weed control are entered in on a per acre basis by the user.  A link to a fact sheet on estimating fencing costs from Iowa State is included as a reference.  Fencing costs should include annual repairs and a depreciation value for the initial cost of the fence.  Seed, fertilizer and weed control expenses may not be incurred every year, so pro-rated values that represent an annual cost incurred for these expenses should be entered.</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Machinery and equipment should be a reasonable cost estimate of these items that are used for pasture maintenance and care of the lambs while on pasture during the finishing period, for example if the pasture is mowed to help control weeds and encourage desirable plant growth the cost of mowing the pasture should be entered on a per acre basis.</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The other line can be used for any other pasture related exepenses.</a:t>
          </a:r>
          <a:endParaRPr sz="1400"/>
        </a:p>
        <a:p>
          <a:pPr indent="0" lvl="0" marL="0" rtl="0" algn="l">
            <a:spcBef>
              <a:spcPts val="0"/>
            </a:spcBef>
            <a:spcAft>
              <a:spcPts val="0"/>
            </a:spcAft>
            <a:buNone/>
          </a:pPr>
          <a:r>
            <a:t/>
          </a:r>
          <a:endParaRPr i="1" sz="1100">
            <a:solidFill>
              <a:schemeClr val="dk1"/>
            </a:solidFill>
            <a:latin typeface="Calibri"/>
            <a:ea typeface="Calibri"/>
            <a:cs typeface="Calibri"/>
            <a:sym typeface="Calibri"/>
          </a:endParaRPr>
        </a:p>
        <a:p>
          <a:pPr indent="0" lvl="0" marL="0" rtl="0" algn="l">
            <a:spcBef>
              <a:spcPts val="0"/>
            </a:spcBef>
            <a:spcAft>
              <a:spcPts val="0"/>
            </a:spcAft>
            <a:buNone/>
          </a:pPr>
          <a:r>
            <a:rPr i="1" lang="en-US" sz="1100">
              <a:solidFill>
                <a:schemeClr val="dk1"/>
              </a:solidFill>
              <a:latin typeface="Calibri"/>
              <a:ea typeface="Calibri"/>
              <a:cs typeface="Calibri"/>
              <a:sym typeface="Calibri"/>
            </a:rPr>
            <a:t>Additional Home Grown and Purchased Feed Costs</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Feed costs are entered in the </a:t>
          </a:r>
          <a:r>
            <a:rPr b="1" lang="en-US" sz="1100">
              <a:solidFill>
                <a:schemeClr val="dk1"/>
              </a:solidFill>
              <a:latin typeface="Calibri"/>
              <a:ea typeface="Calibri"/>
              <a:cs typeface="Calibri"/>
              <a:sym typeface="Calibri"/>
            </a:rPr>
            <a:t>“Drylot Lamb Finishing Feed Cost Sheet” </a:t>
          </a:r>
          <a:r>
            <a:rPr lang="en-US" sz="1100">
              <a:solidFill>
                <a:schemeClr val="dk1"/>
              </a:solidFill>
              <a:latin typeface="Calibri"/>
              <a:ea typeface="Calibri"/>
              <a:cs typeface="Calibri"/>
              <a:sym typeface="Calibri"/>
            </a:rPr>
            <a:t>as stated above.  </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There are two sections to this sheet.  The first section is where any feed delivered when they are in a dry lot (a weaning or receiving period for example) is accounted.  The second section is where supplemental feed they receive while on pasture is entered.</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In both sections, the user enters the average daily amounts of feed delivered to the sheep over the duration of the individual feeding periods.  If available, previous year’s feed amounts of each feed typically used to finish their lambs can be used to fine-tune the daily feed usage by the lambs.  </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It is important to account for feed on a “feed delivered” basis to account for feeding loss due to feeder style and picking/sorting of feed by lambs. Remember, if the feed is delivered, it is a cost incurred by the group. Users may also want to consider storage loss. A storage loss factor can be added to the amount of feed delivered to the lambs.  </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There are additional calculators at the bottom of the feed entry table to assist with converting the price per bag and price per bushel to a price per ton basis for the table.</a:t>
          </a:r>
          <a:endParaRPr sz="1400"/>
        </a:p>
        <a:p>
          <a:pPr indent="0" lvl="0" marL="0" rtl="0" algn="l">
            <a:spcBef>
              <a:spcPts val="0"/>
            </a:spcBef>
            <a:spcAft>
              <a:spcPts val="0"/>
            </a:spcAft>
            <a:buNone/>
          </a:pPr>
          <a:r>
            <a:rPr b="1" lang="en-US" sz="1100">
              <a:solidFill>
                <a:schemeClr val="dk1"/>
              </a:solidFill>
              <a:latin typeface="Calibri"/>
              <a:ea typeface="Calibri"/>
              <a:cs typeface="Calibri"/>
              <a:sym typeface="Calibri"/>
            </a:rPr>
            <a:t>Please note:  </a:t>
          </a:r>
          <a:r>
            <a:rPr lang="en-US" sz="1100">
              <a:solidFill>
                <a:schemeClr val="dk1"/>
              </a:solidFill>
              <a:latin typeface="Calibri"/>
              <a:ea typeface="Calibri"/>
              <a:cs typeface="Calibri"/>
              <a:sym typeface="Calibri"/>
            </a:rPr>
            <a:t>The feed cost summary information is automatically entered into the lamb finishing budget spreadsheet.</a:t>
          </a:r>
          <a:endParaRPr sz="1400"/>
        </a:p>
        <a:p>
          <a:pPr indent="0" lvl="0" marL="0" rtl="0" algn="l">
            <a:spcBef>
              <a:spcPts val="0"/>
            </a:spcBef>
            <a:spcAft>
              <a:spcPts val="0"/>
            </a:spcAft>
            <a:buNone/>
          </a:pPr>
          <a:r>
            <a:t/>
          </a:r>
          <a:endParaRPr i="1" sz="1100">
            <a:solidFill>
              <a:schemeClr val="dk1"/>
            </a:solidFill>
            <a:latin typeface="Calibri"/>
            <a:ea typeface="Calibri"/>
            <a:cs typeface="Calibri"/>
            <a:sym typeface="Calibri"/>
          </a:endParaRPr>
        </a:p>
        <a:p>
          <a:pPr indent="0" lvl="0" marL="0" rtl="0" algn="l">
            <a:spcBef>
              <a:spcPts val="0"/>
            </a:spcBef>
            <a:spcAft>
              <a:spcPts val="0"/>
            </a:spcAft>
            <a:buNone/>
          </a:pPr>
          <a:r>
            <a:rPr i="1" lang="en-US" sz="1100">
              <a:solidFill>
                <a:schemeClr val="dk1"/>
              </a:solidFill>
              <a:latin typeface="Calibri"/>
              <a:ea typeface="Calibri"/>
              <a:cs typeface="Calibri"/>
              <a:sym typeface="Calibri"/>
            </a:rPr>
            <a:t>Veterinary, Pharmaceutical, and Health Costs</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In this section of expenses, the user enters the costs or expected costs for the whole group, and the spreadsheet will calculate cost on a per head basis.  </a:t>
          </a:r>
          <a:endParaRPr sz="1400"/>
        </a:p>
        <a:p>
          <a:pPr indent="0" lvl="0" marL="0" rtl="0" algn="l">
            <a:spcBef>
              <a:spcPts val="0"/>
            </a:spcBef>
            <a:spcAft>
              <a:spcPts val="0"/>
            </a:spcAft>
            <a:buNone/>
          </a:pPr>
          <a:r>
            <a:t/>
          </a:r>
          <a:endParaRPr i="1" sz="1100">
            <a:solidFill>
              <a:schemeClr val="dk1"/>
            </a:solidFill>
            <a:latin typeface="Calibri"/>
            <a:ea typeface="Calibri"/>
            <a:cs typeface="Calibri"/>
            <a:sym typeface="Calibri"/>
          </a:endParaRPr>
        </a:p>
        <a:p>
          <a:pPr indent="0" lvl="0" marL="0" rtl="0" algn="l">
            <a:spcBef>
              <a:spcPts val="0"/>
            </a:spcBef>
            <a:spcAft>
              <a:spcPts val="0"/>
            </a:spcAft>
            <a:buNone/>
          </a:pPr>
          <a:r>
            <a:rPr i="1" lang="en-US" sz="1100">
              <a:solidFill>
                <a:schemeClr val="dk1"/>
              </a:solidFill>
              <a:latin typeface="Calibri"/>
              <a:ea typeface="Calibri"/>
              <a:cs typeface="Calibri"/>
              <a:sym typeface="Calibri"/>
            </a:rPr>
            <a:t>Other Expenses</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The “Other Expenses” section contains several expenses common to a lamb finishing enterprise.  Most of the per head costs are calculated when the user enters in the cost for the entire group.  </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To determine the death loss expense, the user enters the group's expected percent death loss.  Interest expense on both the feeder lambs and feed costs are calculated in this section.  It is assumed that 100% of these costs are borrowed, and either an operating loan interest rate can be used, or if the user is self-funding, then an opportunity cost interest rate they could earn if that money were in savings can be used.</a:t>
          </a:r>
          <a:endParaRPr sz="1400"/>
        </a:p>
        <a:p>
          <a:pPr indent="0" lvl="0" marL="0" rtl="0" algn="l">
            <a:spcBef>
              <a:spcPts val="0"/>
            </a:spcBef>
            <a:spcAft>
              <a:spcPts val="0"/>
            </a:spcAft>
            <a:buNone/>
          </a:pPr>
          <a:r>
            <a:t/>
          </a:r>
          <a:endParaRPr i="1" sz="1100">
            <a:solidFill>
              <a:schemeClr val="dk1"/>
            </a:solidFill>
            <a:latin typeface="Calibri"/>
            <a:ea typeface="Calibri"/>
            <a:cs typeface="Calibri"/>
            <a:sym typeface="Calibri"/>
          </a:endParaRPr>
        </a:p>
        <a:p>
          <a:pPr indent="0" lvl="0" marL="0" rtl="0" algn="l">
            <a:spcBef>
              <a:spcPts val="0"/>
            </a:spcBef>
            <a:spcAft>
              <a:spcPts val="0"/>
            </a:spcAft>
            <a:buNone/>
          </a:pPr>
          <a:r>
            <a:rPr i="1" lang="en-US" sz="1100">
              <a:solidFill>
                <a:schemeClr val="dk1"/>
              </a:solidFill>
              <a:latin typeface="Calibri"/>
              <a:ea typeface="Calibri"/>
              <a:cs typeface="Calibri"/>
              <a:sym typeface="Calibri"/>
            </a:rPr>
            <a:t>Yardage</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For this budget yardage is only entered for the time that the lambs may be confined to a drylot situation, for example a receiving or weaning period.  UW Extension has a separate yardage spreadsheet available that will work for a lamb feeding enterprise.  It is available at this webpage: </a:t>
          </a:r>
          <a:r>
            <a:rPr lang="en-US" sz="1100" u="sng">
              <a:solidFill>
                <a:schemeClr val="dk1"/>
              </a:solidFill>
              <a:latin typeface="Calibri"/>
              <a:ea typeface="Calibri"/>
              <a:cs typeface="Calibri"/>
              <a:sym typeface="Calibri"/>
            </a:rPr>
            <a:t>https://livestock.extension.wisc.edu/article-topic/decision-tools-and-software/</a:t>
          </a:r>
          <a:r>
            <a:rPr lang="en-US" sz="1100">
              <a:solidFill>
                <a:schemeClr val="dk1"/>
              </a:solidFill>
              <a:latin typeface="Calibri"/>
              <a:ea typeface="Calibri"/>
              <a:cs typeface="Calibri"/>
              <a:sym typeface="Calibri"/>
            </a:rPr>
            <a:t> .  There is no standard definition of the non-fixed costs that must be included in yardage.</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In this spreadsheet tool, the yardage should include the fixed costs the sheep are expected to pay of taxes, insurance, depreciation, and interest on long-term assets (buildings, machinery, and equipment) and non-fixed costs of fuel, utilities, office, repairs, and miscellaneous expenses. This spreadsheet has bedding, transportation and veterinary expenses on separate lines. The summary section contains a return to labor and management line; therefore, the user may include paid labor and management in yardage, then the return to labor and management line is the return to the owner's unpaid labor and management.  </a:t>
          </a:r>
          <a:endParaRPr sz="1400"/>
        </a:p>
        <a:p>
          <a:pPr indent="0" lvl="0" marL="0" rtl="0" algn="l">
            <a:spcBef>
              <a:spcPts val="0"/>
            </a:spcBef>
            <a:spcAft>
              <a:spcPts val="0"/>
            </a:spcAft>
            <a:buNone/>
          </a:pPr>
          <a:r>
            <a:t/>
          </a:r>
          <a:endParaRPr i="1" sz="1100">
            <a:solidFill>
              <a:schemeClr val="dk1"/>
            </a:solidFill>
            <a:latin typeface="Calibri"/>
            <a:ea typeface="Calibri"/>
            <a:cs typeface="Calibri"/>
            <a:sym typeface="Calibri"/>
          </a:endParaRPr>
        </a:p>
        <a:p>
          <a:pPr indent="0" lvl="0" marL="0" rtl="0" algn="l">
            <a:spcBef>
              <a:spcPts val="0"/>
            </a:spcBef>
            <a:spcAft>
              <a:spcPts val="0"/>
            </a:spcAft>
            <a:buNone/>
          </a:pPr>
          <a:r>
            <a:rPr i="1" lang="en-US" sz="1100">
              <a:solidFill>
                <a:schemeClr val="dk1"/>
              </a:solidFill>
              <a:latin typeface="Calibri"/>
              <a:ea typeface="Calibri"/>
              <a:cs typeface="Calibri"/>
              <a:sym typeface="Calibri"/>
            </a:rPr>
            <a:t>Cost per Pound of Gain</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Cost per pound of gain is calculated from user inputs to determine the costs per pound the animal gains during the feeding period.  Cost per pound of gain is for the pounds that the animal gains during the feeding/finishing time.  It does not include the feeder price or the cost of gain for weight gained before the beginning date.</a:t>
          </a:r>
          <a:endParaRPr sz="1400"/>
        </a:p>
        <a:p>
          <a:pPr indent="0" lvl="0" marL="0" rtl="0" algn="l">
            <a:spcBef>
              <a:spcPts val="0"/>
            </a:spcBef>
            <a:spcAft>
              <a:spcPts val="0"/>
            </a:spcAft>
            <a:buNone/>
          </a:pPr>
          <a:r>
            <a:t/>
          </a:r>
          <a:endParaRPr i="1" sz="1100">
            <a:solidFill>
              <a:schemeClr val="dk1"/>
            </a:solidFill>
            <a:latin typeface="Calibri"/>
            <a:ea typeface="Calibri"/>
            <a:cs typeface="Calibri"/>
            <a:sym typeface="Calibri"/>
          </a:endParaRPr>
        </a:p>
        <a:p>
          <a:pPr indent="0" lvl="0" marL="0" rtl="0" algn="l">
            <a:spcBef>
              <a:spcPts val="0"/>
            </a:spcBef>
            <a:spcAft>
              <a:spcPts val="0"/>
            </a:spcAft>
            <a:buNone/>
          </a:pPr>
          <a:r>
            <a:rPr i="1" lang="en-US" sz="1100">
              <a:solidFill>
                <a:schemeClr val="dk1"/>
              </a:solidFill>
              <a:latin typeface="Calibri"/>
              <a:ea typeface="Calibri"/>
              <a:cs typeface="Calibri"/>
              <a:sym typeface="Calibri"/>
            </a:rPr>
            <a:t>Return to Resources </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The “Return to Resources” section summarizes income and returns to the various resources as different expenses are then accounted for.</a:t>
          </a:r>
          <a:endParaRPr sz="1400"/>
        </a:p>
        <a:p>
          <a:pPr indent="0" lvl="0" marL="0" rtl="0" algn="l">
            <a:spcBef>
              <a:spcPts val="0"/>
            </a:spcBef>
            <a:spcAft>
              <a:spcPts val="0"/>
            </a:spcAft>
            <a:buNone/>
          </a:pPr>
          <a:r>
            <a:rPr i="1" lang="en-US" sz="1100">
              <a:solidFill>
                <a:schemeClr val="dk1"/>
              </a:solidFill>
              <a:latin typeface="Calibri"/>
              <a:ea typeface="Calibri"/>
              <a:cs typeface="Calibri"/>
              <a:sym typeface="Calibri"/>
            </a:rPr>
            <a:t> </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i="1" lang="en-US" sz="1100">
              <a:solidFill>
                <a:schemeClr val="dk1"/>
              </a:solidFill>
              <a:latin typeface="Calibri"/>
              <a:ea typeface="Calibri"/>
              <a:cs typeface="Calibri"/>
              <a:sym typeface="Calibri"/>
            </a:rPr>
            <a:t> Breakeven Analysis</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The “Breakeven Analysis” calculates what the sale price would have to be for finished lambs to cover the expenses entered in the budget, the feeder price that could be paid, and results in all expenses covered based on estimated sale price in the budget.</a:t>
          </a:r>
          <a:endParaRPr sz="1400"/>
        </a:p>
        <a:p>
          <a:pPr indent="0" lvl="0" marL="0" rtl="0" algn="l">
            <a:spcBef>
              <a:spcPts val="0"/>
            </a:spcBef>
            <a:spcAft>
              <a:spcPts val="0"/>
            </a:spcAft>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None/>
          </a:pPr>
          <a:r>
            <a:rPr lang="en-US" sz="1100">
              <a:solidFill>
                <a:schemeClr val="dk1"/>
              </a:solidFill>
              <a:latin typeface="Calibri"/>
              <a:ea typeface="Calibri"/>
              <a:cs typeface="Calibri"/>
              <a:sym typeface="Calibri"/>
            </a:rPr>
            <a:t>A senstivity analysis table is also included to show how changes in sale price and feed costs influence the breakeven cost of production.</a:t>
          </a:r>
          <a:endParaRPr sz="1400"/>
        </a:p>
        <a:p>
          <a:pPr indent="0" lvl="0" marL="0" rtl="0" algn="l">
            <a:spcBef>
              <a:spcPts val="0"/>
            </a:spcBef>
            <a:spcAft>
              <a:spcPts val="0"/>
            </a:spcAft>
            <a:buNone/>
          </a:pPr>
          <a:r>
            <a:t/>
          </a:r>
          <a:endParaRPr sz="1100"/>
        </a:p>
      </xdr:txBody>
    </xdr:sp>
    <xdr:clientData fLocksWithSheet="0"/>
  </xdr:oneCellAnchor>
  <xdr:oneCellAnchor>
    <xdr:from>
      <xdr:col>0</xdr:col>
      <xdr:colOff>76200</xdr:colOff>
      <xdr:row>0</xdr:row>
      <xdr:rowOff>104775</xdr:rowOff>
    </xdr:from>
    <xdr:ext cx="2466975" cy="723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100</xdr:row>
      <xdr:rowOff>0</xdr:rowOff>
    </xdr:from>
    <xdr:ext cx="6000750" cy="1990725"/>
    <xdr:sp>
      <xdr:nvSpPr>
        <xdr:cNvPr id="10" name="Shape 10"/>
        <xdr:cNvSpPr txBox="1"/>
      </xdr:nvSpPr>
      <xdr:spPr>
        <a:xfrm>
          <a:off x="2350388" y="2789400"/>
          <a:ext cx="5991225" cy="1981200"/>
        </a:xfrm>
        <a:prstGeom prst="rect">
          <a:avLst/>
        </a:prstGeom>
        <a:solidFill>
          <a:srgbClr val="A0F395"/>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To the right is a sensitivity analysis table that compares changes in breakeven price and changes in feed cost per pound</a:t>
          </a:r>
          <a:r>
            <a:rPr lang="en-US" sz="1100">
              <a:solidFill>
                <a:schemeClr val="dk1"/>
              </a:solidFill>
              <a:latin typeface="Calibri"/>
              <a:ea typeface="Calibri"/>
              <a:cs typeface="Calibri"/>
              <a:sym typeface="Calibri"/>
            </a:rPr>
            <a:t> of lamb sold (this is not the same as feed cost per pound of gain, see below for explanation) to illustrate how these changes will impact the breakeven price on a per pound of lamb sold.</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The user may change the percentages that the table calculates.</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Feed cost per pound of lamb sold divides feed cost over the sale weight of the lamb.  Feed cost per pound of gain divides feed cost over the pounds the lamb gains during the duration of the feedout timeframe.</a:t>
          </a:r>
          <a:endParaRPr sz="1100"/>
        </a:p>
      </xdr:txBody>
    </xdr:sp>
    <xdr:clientData fLocksWithSheet="0"/>
  </xdr:oneCellAnchor>
  <xdr:oneCellAnchor>
    <xdr:from>
      <xdr:col>1</xdr:col>
      <xdr:colOff>0</xdr:colOff>
      <xdr:row>116</xdr:row>
      <xdr:rowOff>0</xdr:rowOff>
    </xdr:from>
    <xdr:ext cx="12582525" cy="285750"/>
    <xdr:sp>
      <xdr:nvSpPr>
        <xdr:cNvPr id="11" name="Shape 11"/>
        <xdr:cNvSpPr txBox="1"/>
      </xdr:nvSpPr>
      <xdr:spPr>
        <a:xfrm>
          <a:off x="0" y="3639898"/>
          <a:ext cx="10692000" cy="280205"/>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200">
              <a:solidFill>
                <a:schemeClr val="dk1"/>
              </a:solidFill>
              <a:latin typeface="Calibri"/>
              <a:ea typeface="Calibri"/>
              <a:cs typeface="Calibri"/>
              <a:sym typeface="Calibri"/>
            </a:rPr>
            <a:t>“An EEO/AA employer, University of Wisconsin Extension provides equal opportunities in employment and programming, including Title VI,  Title IX and American with Disabilities (ADA) requirements.”</a:t>
          </a:r>
          <a:endParaRPr sz="1400"/>
        </a:p>
      </xdr:txBody>
    </xdr:sp>
    <xdr:clientData fLocksWithSheet="0"/>
  </xdr:oneCellAnchor>
  <xdr:oneCellAnchor>
    <xdr:from>
      <xdr:col>0</xdr:col>
      <xdr:colOff>47625</xdr:colOff>
      <xdr:row>0</xdr:row>
      <xdr:rowOff>57150</xdr:rowOff>
    </xdr:from>
    <xdr:ext cx="2695575" cy="704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2667000"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extension.iastate.edu/agdm/livestock/html/b1-75.html"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116.14"/>
    <col customWidth="1" min="2" max="26" width="8.71"/>
  </cols>
  <sheetData>
    <row r="1">
      <c r="A1" s="1"/>
    </row>
    <row r="2">
      <c r="A2" s="1"/>
    </row>
    <row r="3">
      <c r="A3" s="1"/>
    </row>
    <row r="4">
      <c r="A4" s="1"/>
    </row>
    <row r="5">
      <c r="A5" s="2" t="s">
        <v>0</v>
      </c>
    </row>
    <row r="6">
      <c r="A6" s="3" t="s">
        <v>1</v>
      </c>
    </row>
    <row r="7">
      <c r="A7" s="4" t="s">
        <v>2</v>
      </c>
    </row>
    <row r="8">
      <c r="A8" s="5"/>
    </row>
    <row r="9">
      <c r="A9" s="4" t="s">
        <v>3</v>
      </c>
    </row>
    <row r="10">
      <c r="A10" s="3" t="s">
        <v>4</v>
      </c>
    </row>
    <row r="11">
      <c r="A11" s="4" t="s">
        <v>5</v>
      </c>
    </row>
    <row r="12">
      <c r="A12" s="5"/>
    </row>
    <row r="13">
      <c r="A13" s="3" t="s">
        <v>6</v>
      </c>
    </row>
    <row r="14">
      <c r="A14" s="4" t="s">
        <v>7</v>
      </c>
    </row>
    <row r="15">
      <c r="A15" s="4" t="s">
        <v>8</v>
      </c>
    </row>
    <row r="16">
      <c r="A16" s="5"/>
    </row>
    <row r="17">
      <c r="A17" s="3" t="s">
        <v>9</v>
      </c>
    </row>
    <row r="18">
      <c r="A18" s="6"/>
    </row>
    <row r="19">
      <c r="A19" s="3" t="s">
        <v>10</v>
      </c>
    </row>
    <row r="20">
      <c r="A20" s="6"/>
    </row>
    <row r="21" ht="15.75" customHeight="1">
      <c r="A21" s="3" t="s">
        <v>11</v>
      </c>
    </row>
    <row r="22" ht="15.75" customHeight="1">
      <c r="A22" s="4" t="s">
        <v>12</v>
      </c>
    </row>
    <row r="23" ht="15.75" customHeight="1">
      <c r="A23" s="5"/>
    </row>
    <row r="24" ht="15.75" customHeight="1">
      <c r="A24" s="3" t="s">
        <v>13</v>
      </c>
    </row>
    <row r="25" ht="15.75" customHeight="1">
      <c r="A25" s="4" t="s">
        <v>14</v>
      </c>
    </row>
    <row r="26" ht="15.75" customHeight="1">
      <c r="A26" s="4" t="s">
        <v>15</v>
      </c>
    </row>
    <row r="27" ht="15.75" customHeight="1">
      <c r="A27" s="4" t="s">
        <v>16</v>
      </c>
    </row>
    <row r="28" ht="15.75" customHeight="1">
      <c r="A28" s="5"/>
    </row>
    <row r="29" ht="15.75" customHeight="1">
      <c r="A29" s="3" t="s">
        <v>17</v>
      </c>
    </row>
    <row r="30" ht="15.75" customHeight="1">
      <c r="A30" s="4" t="s">
        <v>18</v>
      </c>
    </row>
    <row r="31" ht="15.75" customHeight="1">
      <c r="A31" s="3" t="s">
        <v>19</v>
      </c>
    </row>
    <row r="32" ht="15.75" customHeight="1">
      <c r="A32" s="4" t="s">
        <v>20</v>
      </c>
    </row>
    <row r="33" ht="15.75" customHeight="1">
      <c r="A33" s="4" t="s">
        <v>21</v>
      </c>
    </row>
    <row r="34" ht="15.75" customHeight="1">
      <c r="A34" s="4" t="s">
        <v>22</v>
      </c>
    </row>
    <row r="35" ht="15.75" customHeight="1">
      <c r="A35" s="4" t="s">
        <v>23</v>
      </c>
    </row>
    <row r="36" ht="15.75" customHeight="1">
      <c r="A36" s="4" t="s">
        <v>24</v>
      </c>
    </row>
    <row r="37" ht="15.75" customHeight="1">
      <c r="A37" s="5"/>
    </row>
    <row r="38" ht="15.75" customHeight="1">
      <c r="A38" s="3" t="s">
        <v>25</v>
      </c>
    </row>
    <row r="39" ht="15.75" customHeight="1">
      <c r="A39" s="4" t="s">
        <v>26</v>
      </c>
    </row>
    <row r="40" ht="15.75" customHeight="1">
      <c r="A40" s="4" t="s">
        <v>27</v>
      </c>
    </row>
    <row r="41" ht="15.75" customHeight="1">
      <c r="A41" s="4" t="s">
        <v>28</v>
      </c>
    </row>
    <row r="42" ht="15.75" customHeight="1">
      <c r="A42" s="5"/>
    </row>
    <row r="43" ht="15.75" customHeight="1">
      <c r="A43" s="3" t="s">
        <v>29</v>
      </c>
    </row>
    <row r="44" ht="15.75" customHeight="1">
      <c r="A44" s="4" t="s">
        <v>30</v>
      </c>
    </row>
    <row r="45" ht="15.75" customHeight="1">
      <c r="A45" s="4" t="s">
        <v>31</v>
      </c>
    </row>
    <row r="46" ht="15.75" customHeight="1">
      <c r="A46" s="4" t="s">
        <v>32</v>
      </c>
    </row>
    <row r="47" ht="15.75" customHeight="1">
      <c r="A47" s="7" t="s">
        <v>33</v>
      </c>
    </row>
    <row r="48" ht="15.75" customHeight="1">
      <c r="A48" s="7" t="s">
        <v>34</v>
      </c>
    </row>
    <row r="49" ht="15.75" customHeight="1">
      <c r="A49" s="8"/>
    </row>
    <row r="50" ht="15.75" customHeight="1">
      <c r="A50" s="3" t="s">
        <v>35</v>
      </c>
    </row>
    <row r="51" ht="15.75" customHeight="1">
      <c r="A51" s="4" t="s">
        <v>36</v>
      </c>
    </row>
    <row r="52" ht="15.75" customHeight="1">
      <c r="A52" s="4" t="s">
        <v>37</v>
      </c>
    </row>
    <row r="53" ht="15.75" customHeight="1">
      <c r="A53" s="5"/>
    </row>
    <row r="54" ht="15.75" customHeight="1">
      <c r="A54" s="3" t="s">
        <v>38</v>
      </c>
    </row>
    <row r="55" ht="15.75" customHeight="1">
      <c r="A55" s="4" t="s">
        <v>39</v>
      </c>
    </row>
    <row r="56" ht="15.75" customHeight="1">
      <c r="A56" s="4" t="s">
        <v>40</v>
      </c>
    </row>
    <row r="57" ht="15.75" customHeight="1">
      <c r="A57" s="4" t="s">
        <v>41</v>
      </c>
    </row>
    <row r="58" ht="15.75" customHeight="1">
      <c r="A58" s="5"/>
    </row>
    <row r="59" ht="15.75" customHeight="1">
      <c r="A59" s="3" t="s">
        <v>42</v>
      </c>
    </row>
    <row r="60" ht="15.75" customHeight="1">
      <c r="A60" s="4" t="s">
        <v>43</v>
      </c>
    </row>
    <row r="61" ht="15.75" customHeight="1">
      <c r="A61" s="4" t="s">
        <v>44</v>
      </c>
    </row>
    <row r="62" ht="15.75" customHeight="1">
      <c r="A62" s="5"/>
    </row>
    <row r="63" ht="15.75" customHeight="1">
      <c r="A63" s="3" t="s">
        <v>45</v>
      </c>
    </row>
    <row r="64" ht="15.75" customHeight="1">
      <c r="A64" s="4" t="s">
        <v>46</v>
      </c>
    </row>
    <row r="65" ht="15.75" customHeight="1">
      <c r="A65" s="5"/>
    </row>
    <row r="66" ht="15.75" customHeight="1">
      <c r="A66" s="3" t="s">
        <v>47</v>
      </c>
    </row>
    <row r="67" ht="15.75" customHeight="1">
      <c r="A67" s="4" t="s">
        <v>48</v>
      </c>
    </row>
    <row r="68" ht="15.75" customHeight="1">
      <c r="A68" s="5"/>
    </row>
    <row r="69" ht="15.75" customHeight="1">
      <c r="A69" s="3" t="s">
        <v>49</v>
      </c>
    </row>
    <row r="70" ht="15.75" customHeight="1">
      <c r="A70" s="4" t="s">
        <v>50</v>
      </c>
    </row>
    <row r="71" ht="15.75" customHeight="1">
      <c r="A71" s="5"/>
    </row>
    <row r="72" ht="15.75" customHeight="1">
      <c r="A72" s="3" t="s">
        <v>51</v>
      </c>
    </row>
    <row r="73" ht="15.75" customHeight="1">
      <c r="A73" s="4" t="s">
        <v>52</v>
      </c>
    </row>
    <row r="74" ht="15.75" customHeight="1">
      <c r="A74" s="4" t="s">
        <v>53</v>
      </c>
    </row>
    <row r="75" ht="15.75" customHeight="1">
      <c r="A75" s="4" t="s">
        <v>54</v>
      </c>
    </row>
    <row r="76" ht="15.75" customHeight="1">
      <c r="A76" s="5"/>
    </row>
    <row r="77" ht="15.75" customHeight="1">
      <c r="A77" s="3" t="s">
        <v>55</v>
      </c>
    </row>
    <row r="78" ht="15.75" customHeight="1">
      <c r="A78" s="4" t="s">
        <v>56</v>
      </c>
    </row>
    <row r="79" ht="15.75" customHeight="1">
      <c r="A79" s="4" t="s">
        <v>57</v>
      </c>
    </row>
    <row r="80" ht="15.75" customHeight="1">
      <c r="A80" s="4" t="s">
        <v>58</v>
      </c>
    </row>
    <row r="81" ht="15.75" customHeight="1">
      <c r="A81" s="4" t="s">
        <v>59</v>
      </c>
    </row>
    <row r="82" ht="15.75" customHeight="1">
      <c r="A82" s="4" t="s">
        <v>60</v>
      </c>
    </row>
    <row r="83" ht="15.75" customHeight="1">
      <c r="A83" s="4" t="s">
        <v>61</v>
      </c>
    </row>
    <row r="84" ht="15.75" customHeight="1">
      <c r="A84" s="4" t="s">
        <v>62</v>
      </c>
    </row>
    <row r="85" ht="15.75" customHeight="1">
      <c r="A85" s="4" t="s">
        <v>63</v>
      </c>
    </row>
    <row r="86" ht="15.75" customHeight="1">
      <c r="A86" s="4" t="s">
        <v>64</v>
      </c>
    </row>
    <row r="87" ht="15.75" customHeight="1">
      <c r="A87" s="5"/>
    </row>
    <row r="88" ht="15.75" customHeight="1">
      <c r="A88" s="3" t="s">
        <v>65</v>
      </c>
    </row>
    <row r="89" ht="15.75" customHeight="1">
      <c r="A89" s="4" t="s">
        <v>66</v>
      </c>
    </row>
    <row r="90" ht="15.75" customHeight="1">
      <c r="A90" s="5"/>
    </row>
    <row r="91" ht="15.75" customHeight="1">
      <c r="A91" s="3" t="s">
        <v>67</v>
      </c>
    </row>
    <row r="92" ht="15.75" customHeight="1">
      <c r="A92" s="4" t="s">
        <v>68</v>
      </c>
    </row>
    <row r="93" ht="15.75" customHeight="1">
      <c r="A93" s="5"/>
    </row>
    <row r="94" ht="15.75" customHeight="1">
      <c r="A94" s="3" t="s">
        <v>69</v>
      </c>
    </row>
    <row r="95" ht="15.75" customHeight="1">
      <c r="A95" s="4" t="s">
        <v>70</v>
      </c>
    </row>
    <row r="96" ht="15.75" customHeight="1">
      <c r="A96" s="5"/>
    </row>
    <row r="97" ht="15.75" customHeight="1">
      <c r="A97" s="3" t="s">
        <v>71</v>
      </c>
    </row>
    <row r="98" ht="15.75" customHeight="1">
      <c r="A98" s="3" t="s">
        <v>6</v>
      </c>
    </row>
    <row r="99" ht="15.75" customHeight="1">
      <c r="A99" s="4" t="s">
        <v>7</v>
      </c>
    </row>
    <row r="100" ht="15.75" customHeight="1">
      <c r="A100" s="4" t="s">
        <v>8</v>
      </c>
    </row>
    <row r="101" ht="15.75" customHeight="1">
      <c r="A101" s="3" t="s">
        <v>72</v>
      </c>
    </row>
    <row r="102" ht="15.75" customHeight="1">
      <c r="A102" s="4" t="s">
        <v>73</v>
      </c>
    </row>
    <row r="103" ht="15.75" customHeight="1">
      <c r="A103" s="4" t="s">
        <v>74</v>
      </c>
    </row>
    <row r="104" ht="15.75" customHeight="1">
      <c r="A104" s="5"/>
    </row>
    <row r="105" ht="15.75" customHeight="1">
      <c r="A105" s="3" t="s">
        <v>75</v>
      </c>
    </row>
    <row r="106" ht="15.75" customHeight="1">
      <c r="A106" s="4" t="s">
        <v>76</v>
      </c>
    </row>
    <row r="107" ht="15.75" customHeight="1">
      <c r="A107" s="5"/>
    </row>
    <row r="108" ht="15.75" customHeight="1">
      <c r="A108" s="1"/>
    </row>
    <row r="109" ht="15.75" customHeight="1">
      <c r="A109" s="1"/>
    </row>
    <row r="110" ht="15.75" customHeight="1">
      <c r="A110" s="1"/>
    </row>
    <row r="111" ht="15.75" customHeight="1">
      <c r="A111" s="1"/>
    </row>
    <row r="112" ht="15.75" customHeight="1">
      <c r="A112" s="1"/>
    </row>
    <row r="113" ht="15.75" customHeight="1">
      <c r="A113" s="1"/>
    </row>
    <row r="114" ht="15.75" customHeight="1">
      <c r="A114" s="1"/>
    </row>
    <row r="115" ht="15.75" customHeight="1">
      <c r="A115" s="1"/>
    </row>
    <row r="116" ht="15.75" customHeight="1">
      <c r="A116" s="1"/>
    </row>
    <row r="117" ht="15.75" customHeight="1">
      <c r="A117" s="1"/>
    </row>
    <row r="118" ht="15.75" customHeight="1">
      <c r="A118" s="1"/>
    </row>
    <row r="119" ht="15.75" customHeight="1">
      <c r="A119" s="1"/>
    </row>
    <row r="120" ht="15.75" customHeight="1">
      <c r="A120" s="1"/>
    </row>
    <row r="121" ht="15.75" customHeight="1">
      <c r="A121" s="1"/>
    </row>
    <row r="122" ht="15.75" customHeight="1">
      <c r="A122" s="1"/>
    </row>
    <row r="123" ht="15.75" customHeight="1">
      <c r="A123" s="1"/>
    </row>
    <row r="124" ht="15.75" customHeight="1">
      <c r="A124" s="1"/>
    </row>
    <row r="125" ht="15.75" customHeight="1">
      <c r="A125" s="1"/>
    </row>
    <row r="126" ht="15.75" customHeight="1">
      <c r="A126" s="1"/>
    </row>
    <row r="127" ht="15.75" customHeight="1">
      <c r="A127" s="1"/>
    </row>
    <row r="128" ht="15.75" customHeight="1">
      <c r="A128" s="1"/>
    </row>
    <row r="129" ht="15.75" customHeight="1">
      <c r="A129" s="1"/>
    </row>
    <row r="130" ht="15.75" customHeight="1">
      <c r="A130" s="1"/>
    </row>
    <row r="131" ht="15.75" customHeight="1">
      <c r="A131" s="1"/>
    </row>
    <row r="132" ht="15.75" customHeight="1">
      <c r="A132" s="1"/>
    </row>
    <row r="133" ht="15.75" customHeight="1">
      <c r="A133" s="1"/>
    </row>
    <row r="134" ht="15.75" customHeight="1">
      <c r="A134" s="1"/>
    </row>
    <row r="135" ht="15.75" customHeight="1">
      <c r="A135" s="1"/>
    </row>
    <row r="136" ht="15.75" customHeight="1">
      <c r="A136" s="1"/>
    </row>
    <row r="137" ht="15.75" customHeight="1">
      <c r="A137" s="1"/>
    </row>
    <row r="138" ht="15.75" customHeight="1">
      <c r="A138" s="1"/>
    </row>
    <row r="139" ht="15.75" customHeight="1">
      <c r="A139" s="1"/>
    </row>
    <row r="140" ht="15.75" customHeight="1">
      <c r="A140" s="1"/>
    </row>
    <row r="141" ht="15.75" customHeight="1">
      <c r="A141" s="1"/>
    </row>
    <row r="142" ht="15.75" customHeight="1">
      <c r="A142" s="1"/>
    </row>
    <row r="143" ht="15.75" customHeight="1">
      <c r="A143" s="1"/>
    </row>
    <row r="144" ht="15.75" customHeight="1">
      <c r="A144" s="1"/>
    </row>
    <row r="145" ht="15.75" customHeight="1">
      <c r="A145" s="1"/>
    </row>
    <row r="146" ht="15.75" customHeight="1">
      <c r="A146" s="1"/>
    </row>
    <row r="147" ht="15.75" customHeight="1">
      <c r="A147" s="1"/>
    </row>
    <row r="148" ht="15.75" customHeight="1">
      <c r="A148" s="1"/>
    </row>
    <row r="149" ht="15.75" customHeight="1">
      <c r="A149" s="1"/>
    </row>
    <row r="150" ht="15.75" customHeight="1">
      <c r="A150" s="1"/>
    </row>
    <row r="151" ht="15.75" customHeight="1">
      <c r="A151" s="1"/>
    </row>
    <row r="152" ht="15.75" customHeight="1">
      <c r="A152" s="1"/>
    </row>
    <row r="153" ht="15.75" customHeight="1">
      <c r="A153" s="1"/>
    </row>
    <row r="154" ht="15.75" customHeight="1">
      <c r="A154" s="1"/>
    </row>
    <row r="155" ht="15.75" customHeight="1">
      <c r="A155" s="1"/>
    </row>
    <row r="156" ht="15.75" customHeight="1">
      <c r="A156" s="1"/>
    </row>
    <row r="157" ht="15.75" customHeight="1">
      <c r="A157" s="1"/>
    </row>
    <row r="158" ht="15.75" customHeight="1">
      <c r="A158" s="1"/>
    </row>
    <row r="159" ht="15.75" customHeight="1">
      <c r="A159" s="1"/>
    </row>
    <row r="160" ht="15.75" customHeight="1">
      <c r="A160" s="1"/>
    </row>
    <row r="161" ht="15.75" customHeight="1">
      <c r="A161" s="1"/>
    </row>
    <row r="162" ht="15.75" customHeight="1">
      <c r="A162" s="1"/>
    </row>
    <row r="163" ht="15.75" customHeight="1">
      <c r="A163" s="1"/>
    </row>
    <row r="164" ht="15.75" customHeight="1">
      <c r="A164" s="1"/>
    </row>
    <row r="165" ht="15.75" customHeight="1">
      <c r="A165" s="1"/>
    </row>
    <row r="166" ht="15.75" customHeight="1">
      <c r="A166" s="1"/>
    </row>
    <row r="167" ht="15.75" customHeight="1">
      <c r="A167" s="1"/>
    </row>
    <row r="168" ht="15.75" customHeight="1">
      <c r="A168" s="1"/>
    </row>
    <row r="169" ht="15.75" customHeight="1">
      <c r="A169" s="1"/>
    </row>
    <row r="170" ht="15.75" customHeight="1">
      <c r="A170" s="1"/>
    </row>
    <row r="171" ht="15.75" customHeight="1">
      <c r="A171" s="1"/>
    </row>
    <row r="172" ht="15.75" customHeight="1">
      <c r="A172" s="1"/>
    </row>
    <row r="173" ht="15.75" customHeight="1">
      <c r="A173" s="1"/>
    </row>
    <row r="174" ht="15.75" customHeight="1">
      <c r="A174" s="1"/>
    </row>
    <row r="175" ht="15.75" customHeight="1">
      <c r="A175" s="1"/>
    </row>
    <row r="176" ht="15.75" customHeight="1">
      <c r="A176" s="1"/>
    </row>
    <row r="177" ht="15.75" customHeight="1">
      <c r="A177" s="1"/>
    </row>
    <row r="178" ht="15.75" customHeight="1">
      <c r="A178" s="1"/>
    </row>
    <row r="179" ht="15.75" customHeight="1">
      <c r="A179" s="1"/>
    </row>
    <row r="180" ht="15.75" customHeight="1">
      <c r="A180" s="1"/>
    </row>
    <row r="181" ht="15.75" customHeight="1">
      <c r="A181" s="1"/>
    </row>
    <row r="182" ht="15.75" customHeight="1">
      <c r="A182" s="1"/>
    </row>
    <row r="183" ht="15.75" customHeight="1">
      <c r="A183" s="1"/>
    </row>
    <row r="184" ht="15.75" customHeight="1">
      <c r="A184" s="1"/>
    </row>
    <row r="185" ht="15.75" customHeight="1">
      <c r="A185" s="1"/>
    </row>
    <row r="186" ht="15.75" customHeight="1">
      <c r="A186" s="1"/>
    </row>
    <row r="187" ht="15.75" customHeight="1">
      <c r="A187" s="1"/>
    </row>
    <row r="188" ht="15.75" customHeight="1">
      <c r="A188" s="1"/>
    </row>
    <row r="189" ht="15.75" customHeight="1">
      <c r="A189" s="1"/>
    </row>
    <row r="190" ht="15.75" customHeight="1">
      <c r="A190" s="1"/>
    </row>
    <row r="191" ht="15.75" customHeight="1">
      <c r="A191" s="1"/>
    </row>
    <row r="192" ht="15.75" customHeight="1">
      <c r="A192" s="1"/>
    </row>
    <row r="193" ht="15.75" customHeight="1">
      <c r="A193" s="1"/>
    </row>
    <row r="194" ht="15.75" customHeight="1">
      <c r="A194" s="1"/>
    </row>
    <row r="195" ht="15.75" customHeight="1">
      <c r="A195" s="1"/>
    </row>
    <row r="196" ht="15.75" customHeight="1">
      <c r="A196" s="1"/>
    </row>
    <row r="197" ht="15.75" customHeight="1">
      <c r="A197" s="1"/>
    </row>
    <row r="198" ht="15.75" customHeight="1">
      <c r="A198" s="1"/>
    </row>
    <row r="199" ht="15.75" customHeight="1">
      <c r="A199" s="1"/>
    </row>
    <row r="200" ht="15.75" customHeight="1">
      <c r="A200" s="1"/>
    </row>
    <row r="201" ht="15.75" customHeight="1">
      <c r="A201" s="1"/>
    </row>
    <row r="202" ht="15.75" customHeight="1">
      <c r="A202" s="1"/>
    </row>
    <row r="203" ht="15.75" customHeight="1">
      <c r="A203" s="1"/>
    </row>
    <row r="204" ht="15.75" customHeight="1">
      <c r="A204" s="1"/>
    </row>
    <row r="205" ht="15.75" customHeight="1">
      <c r="A205" s="1"/>
    </row>
    <row r="206" ht="15.75" customHeight="1">
      <c r="A206" s="1"/>
    </row>
    <row r="207" ht="15.75" customHeight="1">
      <c r="A207" s="1"/>
    </row>
    <row r="208" ht="15.75" customHeight="1">
      <c r="A208" s="1"/>
    </row>
    <row r="209" ht="15.75" customHeight="1">
      <c r="A209" s="1"/>
    </row>
    <row r="210" ht="15.75" customHeight="1">
      <c r="A210" s="1"/>
    </row>
    <row r="211" ht="15.75" customHeight="1">
      <c r="A211" s="1"/>
    </row>
    <row r="212" ht="15.75" customHeight="1">
      <c r="A212" s="1"/>
    </row>
    <row r="213" ht="15.75" customHeight="1">
      <c r="A213" s="1"/>
    </row>
    <row r="214" ht="15.75" customHeight="1">
      <c r="A214" s="1"/>
    </row>
    <row r="215" ht="15.75" customHeight="1">
      <c r="A215" s="1"/>
    </row>
    <row r="216" ht="15.75" customHeight="1">
      <c r="A216" s="1"/>
    </row>
    <row r="217" ht="15.75" customHeight="1">
      <c r="A217" s="1"/>
    </row>
    <row r="218" ht="15.75" customHeight="1">
      <c r="A218" s="1"/>
    </row>
    <row r="219" ht="15.75" customHeight="1">
      <c r="A219" s="1"/>
    </row>
    <row r="220" ht="15.75" customHeight="1">
      <c r="A220" s="1"/>
    </row>
    <row r="221" ht="15.75" customHeight="1">
      <c r="A221" s="1"/>
    </row>
    <row r="222" ht="15.75" customHeight="1">
      <c r="A222" s="1"/>
    </row>
    <row r="223" ht="15.75" customHeight="1">
      <c r="A223" s="1"/>
    </row>
    <row r="224" ht="15.75" customHeight="1">
      <c r="A224" s="1"/>
    </row>
    <row r="225" ht="15.75" customHeight="1">
      <c r="A225" s="1"/>
    </row>
    <row r="226" ht="15.75" customHeight="1">
      <c r="A226" s="1"/>
    </row>
    <row r="227" ht="15.75" customHeight="1">
      <c r="A227" s="1"/>
    </row>
    <row r="228" ht="15.75" customHeight="1">
      <c r="A228" s="1"/>
    </row>
    <row r="229" ht="15.75" customHeight="1">
      <c r="A229" s="1"/>
    </row>
    <row r="230" ht="15.75" customHeight="1">
      <c r="A230" s="1"/>
    </row>
    <row r="231" ht="15.75" customHeight="1">
      <c r="A231" s="1"/>
    </row>
    <row r="232" ht="15.75" customHeight="1">
      <c r="A232" s="1"/>
    </row>
    <row r="233" ht="15.75" customHeight="1">
      <c r="A233" s="1"/>
    </row>
    <row r="234" ht="15.75" customHeight="1">
      <c r="A234" s="1"/>
    </row>
    <row r="235" ht="15.75" customHeight="1">
      <c r="A235" s="1"/>
    </row>
    <row r="236" ht="15.75" customHeight="1">
      <c r="A236" s="1"/>
    </row>
    <row r="237" ht="15.75" customHeight="1">
      <c r="A237" s="1"/>
    </row>
    <row r="238" ht="15.75" customHeight="1">
      <c r="A238" s="1"/>
    </row>
    <row r="239" ht="15.75" customHeight="1">
      <c r="A239" s="1"/>
    </row>
    <row r="240" ht="15.75" customHeight="1">
      <c r="A240" s="1"/>
    </row>
    <row r="241" ht="15.75" customHeight="1">
      <c r="A241" s="1"/>
    </row>
    <row r="242" ht="15.75" customHeight="1">
      <c r="A242" s="1"/>
    </row>
    <row r="243" ht="15.75" customHeight="1">
      <c r="A243" s="1"/>
    </row>
    <row r="244" ht="15.75" customHeight="1">
      <c r="A244" s="1"/>
    </row>
    <row r="245" ht="15.75" customHeight="1">
      <c r="A245" s="1"/>
    </row>
    <row r="246" ht="15.75" customHeight="1">
      <c r="A246" s="1"/>
    </row>
    <row r="247" ht="15.75" customHeight="1">
      <c r="A247" s="1"/>
    </row>
    <row r="248" ht="15.75" customHeight="1">
      <c r="A248" s="1"/>
    </row>
    <row r="249" ht="15.75" customHeight="1">
      <c r="A249" s="1"/>
    </row>
    <row r="250" ht="15.75" customHeight="1">
      <c r="A250" s="1"/>
    </row>
    <row r="251" ht="15.75" customHeight="1">
      <c r="A251" s="1"/>
    </row>
    <row r="252" ht="15.75" customHeight="1">
      <c r="A252" s="1"/>
    </row>
    <row r="253" ht="15.75" customHeight="1">
      <c r="A253" s="1"/>
    </row>
    <row r="254" ht="15.75" customHeight="1">
      <c r="A254" s="1"/>
    </row>
    <row r="255" ht="15.75" customHeight="1">
      <c r="A255" s="1"/>
    </row>
    <row r="256" ht="15.75" customHeight="1">
      <c r="A256" s="1"/>
    </row>
    <row r="257" ht="15.75" customHeight="1">
      <c r="A257" s="1"/>
    </row>
    <row r="258" ht="15.75" customHeight="1">
      <c r="A258" s="1"/>
    </row>
    <row r="259" ht="15.75" customHeight="1">
      <c r="A259" s="1"/>
    </row>
    <row r="260" ht="15.75" customHeight="1">
      <c r="A260" s="1"/>
    </row>
    <row r="261" ht="15.75" customHeight="1">
      <c r="A261" s="1"/>
    </row>
    <row r="262" ht="15.75" customHeight="1">
      <c r="A262" s="1"/>
    </row>
    <row r="263" ht="15.75" customHeight="1">
      <c r="A263" s="1"/>
    </row>
    <row r="264" ht="15.75" customHeight="1">
      <c r="A264" s="1"/>
    </row>
    <row r="265" ht="15.75" customHeight="1">
      <c r="A265" s="1"/>
    </row>
    <row r="266" ht="15.75" customHeight="1">
      <c r="A266" s="1"/>
    </row>
    <row r="267" ht="15.75" customHeight="1">
      <c r="A267" s="1"/>
    </row>
    <row r="268" ht="15.75" customHeight="1">
      <c r="A268" s="1"/>
    </row>
    <row r="269" ht="15.75" customHeight="1">
      <c r="A269" s="1"/>
    </row>
    <row r="270" ht="15.75" customHeight="1">
      <c r="A270" s="1"/>
    </row>
    <row r="271" ht="15.75" customHeight="1">
      <c r="A271" s="1"/>
    </row>
    <row r="272" ht="15.75" customHeight="1">
      <c r="A272" s="1"/>
    </row>
    <row r="273" ht="15.75" customHeight="1">
      <c r="A273" s="1"/>
    </row>
    <row r="274" ht="15.75" customHeight="1">
      <c r="A274" s="1"/>
    </row>
    <row r="275" ht="15.75" customHeight="1">
      <c r="A275" s="1"/>
    </row>
    <row r="276" ht="15.75" customHeight="1">
      <c r="A276" s="1"/>
    </row>
    <row r="277" ht="15.75" customHeight="1">
      <c r="A277" s="1"/>
    </row>
    <row r="278" ht="15.75" customHeight="1">
      <c r="A278" s="1"/>
    </row>
    <row r="279" ht="15.75" customHeight="1">
      <c r="A279" s="1"/>
    </row>
    <row r="280" ht="15.75" customHeight="1">
      <c r="A280" s="1"/>
    </row>
    <row r="281" ht="15.75" customHeight="1">
      <c r="A281" s="1"/>
    </row>
    <row r="282" ht="15.75" customHeight="1">
      <c r="A282" s="1"/>
    </row>
    <row r="283" ht="15.75" customHeight="1">
      <c r="A283" s="1"/>
    </row>
    <row r="284" ht="15.75" customHeight="1">
      <c r="A284" s="1"/>
    </row>
    <row r="285" ht="15.75" customHeight="1">
      <c r="A285" s="1"/>
    </row>
    <row r="286" ht="15.75" customHeight="1">
      <c r="A286" s="1"/>
    </row>
    <row r="287" ht="15.75" customHeight="1">
      <c r="A287" s="1"/>
    </row>
    <row r="288" ht="15.75" customHeight="1">
      <c r="A288" s="1"/>
    </row>
    <row r="289" ht="15.75" customHeight="1">
      <c r="A289" s="1"/>
    </row>
    <row r="290" ht="15.75" customHeight="1">
      <c r="A290" s="1"/>
    </row>
    <row r="291" ht="15.75" customHeight="1">
      <c r="A291" s="1"/>
    </row>
    <row r="292" ht="15.75" customHeight="1">
      <c r="A292" s="1"/>
    </row>
    <row r="293" ht="15.75" customHeight="1">
      <c r="A293" s="1"/>
    </row>
    <row r="294" ht="15.75" customHeight="1">
      <c r="A294" s="1"/>
    </row>
    <row r="295" ht="15.75" customHeight="1">
      <c r="A295" s="1"/>
    </row>
    <row r="296" ht="15.75" customHeight="1">
      <c r="A296" s="1"/>
    </row>
    <row r="297" ht="15.75" customHeight="1">
      <c r="A297" s="1"/>
    </row>
    <row r="298" ht="15.75" customHeight="1">
      <c r="A298" s="1"/>
    </row>
    <row r="299" ht="15.75" customHeight="1">
      <c r="A299" s="1"/>
    </row>
    <row r="300" ht="15.75" customHeight="1">
      <c r="A300" s="1"/>
    </row>
    <row r="301" ht="15.75" customHeight="1">
      <c r="A301" s="1"/>
    </row>
    <row r="302" ht="15.75" customHeight="1">
      <c r="A302" s="1"/>
    </row>
    <row r="303" ht="15.75" customHeight="1">
      <c r="A303" s="1"/>
    </row>
    <row r="304" ht="15.75" customHeight="1">
      <c r="A304" s="1"/>
    </row>
    <row r="305" ht="15.75" customHeight="1">
      <c r="A305" s="1"/>
    </row>
    <row r="306" ht="15.75" customHeight="1">
      <c r="A306" s="1"/>
    </row>
    <row r="307" ht="15.75" customHeight="1">
      <c r="A307" s="1"/>
    </row>
    <row r="308" ht="15.75" customHeight="1">
      <c r="A308" s="1"/>
    </row>
    <row r="309" ht="15.75" customHeight="1">
      <c r="A309" s="1"/>
    </row>
    <row r="310" ht="15.75" customHeight="1">
      <c r="A310" s="1"/>
    </row>
    <row r="311" ht="15.75" customHeight="1">
      <c r="A311" s="1"/>
    </row>
    <row r="312" ht="15.75" customHeight="1">
      <c r="A312" s="1"/>
    </row>
    <row r="313" ht="15.75" customHeight="1">
      <c r="A313" s="1"/>
    </row>
    <row r="314" ht="15.75" customHeight="1">
      <c r="A314" s="1"/>
    </row>
    <row r="315" ht="15.75" customHeight="1">
      <c r="A315" s="1"/>
    </row>
    <row r="316" ht="15.75" customHeight="1">
      <c r="A316" s="1"/>
    </row>
    <row r="317" ht="15.75" customHeight="1">
      <c r="A317" s="1"/>
    </row>
    <row r="318" ht="15.75" customHeight="1">
      <c r="A318" s="1"/>
    </row>
    <row r="319" ht="15.75" customHeight="1">
      <c r="A319" s="1"/>
    </row>
    <row r="320" ht="15.75" customHeight="1">
      <c r="A320" s="1"/>
    </row>
    <row r="321" ht="15.75" customHeight="1">
      <c r="A321" s="1"/>
    </row>
    <row r="322" ht="15.75" customHeight="1">
      <c r="A322" s="1"/>
    </row>
    <row r="323" ht="15.75" customHeight="1">
      <c r="A323" s="1"/>
    </row>
    <row r="324" ht="15.75" customHeight="1">
      <c r="A324" s="1"/>
    </row>
    <row r="325" ht="15.75" customHeight="1">
      <c r="A325" s="1"/>
    </row>
    <row r="326" ht="15.75" customHeight="1">
      <c r="A326" s="1"/>
    </row>
    <row r="327" ht="15.75" customHeight="1">
      <c r="A327" s="1"/>
    </row>
    <row r="328" ht="15.75" customHeight="1">
      <c r="A328" s="1"/>
    </row>
    <row r="329" ht="15.75" customHeight="1">
      <c r="A329" s="1"/>
    </row>
    <row r="330" ht="15.75" customHeight="1">
      <c r="A330" s="1"/>
    </row>
    <row r="331" ht="15.75" customHeight="1">
      <c r="A331" s="1"/>
    </row>
    <row r="332" ht="15.75" customHeight="1">
      <c r="A332" s="1"/>
    </row>
    <row r="333" ht="15.75" customHeight="1">
      <c r="A333" s="1"/>
    </row>
    <row r="334" ht="15.75" customHeight="1">
      <c r="A334" s="1"/>
    </row>
    <row r="335" ht="15.75" customHeight="1">
      <c r="A335" s="1"/>
    </row>
    <row r="336" ht="15.75" customHeight="1">
      <c r="A336" s="1"/>
    </row>
    <row r="337" ht="15.75" customHeight="1">
      <c r="A337" s="1"/>
    </row>
    <row r="338" ht="15.75" customHeight="1">
      <c r="A338" s="1"/>
    </row>
    <row r="339" ht="15.75" customHeight="1">
      <c r="A339" s="1"/>
    </row>
    <row r="340" ht="15.75" customHeight="1">
      <c r="A340" s="1"/>
    </row>
    <row r="341" ht="15.75" customHeight="1">
      <c r="A341" s="1"/>
    </row>
    <row r="342" ht="15.75" customHeight="1">
      <c r="A342" s="1"/>
    </row>
    <row r="343" ht="15.75" customHeight="1">
      <c r="A343" s="1"/>
    </row>
    <row r="344" ht="15.75" customHeight="1">
      <c r="A344" s="1"/>
    </row>
    <row r="345" ht="15.75" customHeight="1">
      <c r="A345" s="1"/>
    </row>
    <row r="346" ht="15.75" customHeight="1">
      <c r="A346" s="1"/>
    </row>
    <row r="347" ht="15.75" customHeight="1">
      <c r="A347" s="1"/>
    </row>
    <row r="348" ht="15.75" customHeight="1">
      <c r="A348" s="1"/>
    </row>
    <row r="349" ht="15.75" customHeight="1">
      <c r="A349" s="1"/>
    </row>
    <row r="350" ht="15.75" customHeight="1">
      <c r="A350" s="1"/>
    </row>
    <row r="351" ht="15.75" customHeight="1">
      <c r="A351" s="1"/>
    </row>
    <row r="352" ht="15.75" customHeight="1">
      <c r="A352" s="1"/>
    </row>
    <row r="353" ht="15.75" customHeight="1">
      <c r="A353" s="1"/>
    </row>
    <row r="354" ht="15.75" customHeight="1">
      <c r="A354" s="1"/>
    </row>
    <row r="355" ht="15.75" customHeight="1">
      <c r="A355" s="1"/>
    </row>
    <row r="356" ht="15.75" customHeight="1">
      <c r="A356" s="1"/>
    </row>
    <row r="357" ht="15.75" customHeight="1">
      <c r="A357" s="1"/>
    </row>
    <row r="358" ht="15.75" customHeight="1">
      <c r="A358" s="1"/>
    </row>
    <row r="359" ht="15.75" customHeight="1">
      <c r="A359" s="1"/>
    </row>
    <row r="360" ht="15.75" customHeight="1">
      <c r="A360" s="1"/>
    </row>
    <row r="361" ht="15.75" customHeight="1">
      <c r="A361" s="1"/>
    </row>
    <row r="362" ht="15.75" customHeight="1">
      <c r="A362" s="1"/>
    </row>
    <row r="363" ht="15.75" customHeight="1">
      <c r="A363" s="1"/>
    </row>
    <row r="364" ht="15.75" customHeight="1">
      <c r="A364" s="1"/>
    </row>
    <row r="365" ht="15.75" customHeight="1">
      <c r="A365" s="1"/>
    </row>
    <row r="366" ht="15.75" customHeight="1">
      <c r="A366" s="1"/>
    </row>
    <row r="367" ht="15.75" customHeight="1">
      <c r="A367" s="1"/>
    </row>
    <row r="368" ht="15.75" customHeight="1">
      <c r="A368" s="1"/>
    </row>
    <row r="369" ht="15.75" customHeight="1">
      <c r="A369" s="1"/>
    </row>
    <row r="370" ht="15.75" customHeight="1">
      <c r="A370" s="1"/>
    </row>
    <row r="371" ht="15.75" customHeight="1">
      <c r="A371" s="1"/>
    </row>
    <row r="372" ht="15.75" customHeight="1">
      <c r="A372" s="1"/>
    </row>
    <row r="373" ht="15.75" customHeight="1">
      <c r="A373" s="1"/>
    </row>
    <row r="374" ht="15.75" customHeight="1">
      <c r="A374" s="1"/>
    </row>
    <row r="375" ht="15.75" customHeight="1">
      <c r="A375" s="1"/>
    </row>
    <row r="376" ht="15.75" customHeight="1">
      <c r="A376" s="1"/>
    </row>
    <row r="377" ht="15.75" customHeight="1">
      <c r="A377" s="1"/>
    </row>
    <row r="378" ht="15.75" customHeight="1">
      <c r="A378" s="1"/>
    </row>
    <row r="379" ht="15.75" customHeight="1">
      <c r="A379" s="1"/>
    </row>
    <row r="380" ht="15.75" customHeight="1">
      <c r="A380" s="1"/>
    </row>
    <row r="381" ht="15.75" customHeight="1">
      <c r="A381" s="1"/>
    </row>
    <row r="382" ht="15.75" customHeight="1">
      <c r="A382" s="1"/>
    </row>
    <row r="383" ht="15.75" customHeight="1">
      <c r="A383" s="1"/>
    </row>
    <row r="384" ht="15.75" customHeight="1">
      <c r="A384" s="1"/>
    </row>
    <row r="385" ht="15.75" customHeight="1">
      <c r="A385" s="1"/>
    </row>
    <row r="386" ht="15.75" customHeight="1">
      <c r="A386" s="1"/>
    </row>
    <row r="387" ht="15.75" customHeight="1">
      <c r="A387" s="1"/>
    </row>
    <row r="388" ht="15.75" customHeight="1">
      <c r="A388" s="1"/>
    </row>
    <row r="389" ht="15.75" customHeight="1">
      <c r="A389" s="1"/>
    </row>
    <row r="390" ht="15.75" customHeight="1">
      <c r="A390" s="1"/>
    </row>
    <row r="391" ht="15.75" customHeight="1">
      <c r="A391" s="1"/>
    </row>
    <row r="392" ht="15.75" customHeight="1">
      <c r="A392" s="1"/>
    </row>
    <row r="393" ht="15.75" customHeight="1">
      <c r="A393" s="1"/>
    </row>
    <row r="394" ht="15.75" customHeight="1">
      <c r="A394" s="1"/>
    </row>
    <row r="395" ht="15.75" customHeight="1">
      <c r="A395" s="1"/>
    </row>
    <row r="396" ht="15.75" customHeight="1">
      <c r="A396" s="1"/>
    </row>
    <row r="397" ht="15.75" customHeight="1">
      <c r="A397" s="1"/>
    </row>
    <row r="398" ht="15.75" customHeight="1">
      <c r="A398" s="1"/>
    </row>
    <row r="399" ht="15.75" customHeight="1">
      <c r="A399" s="1"/>
    </row>
    <row r="400" ht="15.75" customHeight="1">
      <c r="A400" s="1"/>
    </row>
    <row r="401" ht="15.75" customHeight="1">
      <c r="A401" s="1"/>
    </row>
    <row r="402" ht="15.75" customHeight="1">
      <c r="A402" s="1"/>
    </row>
    <row r="403" ht="15.75" customHeight="1">
      <c r="A403" s="1"/>
    </row>
    <row r="404" ht="15.75" customHeight="1">
      <c r="A404" s="1"/>
    </row>
    <row r="405" ht="15.75" customHeight="1">
      <c r="A405" s="1"/>
    </row>
    <row r="406" ht="15.75" customHeight="1">
      <c r="A406" s="1"/>
    </row>
    <row r="407" ht="15.75" customHeight="1">
      <c r="A407" s="1"/>
    </row>
    <row r="408" ht="15.75" customHeight="1">
      <c r="A408" s="1"/>
    </row>
    <row r="409" ht="15.75" customHeight="1">
      <c r="A409" s="1"/>
    </row>
    <row r="410" ht="15.75" customHeight="1">
      <c r="A410" s="1"/>
    </row>
    <row r="411" ht="15.75" customHeight="1">
      <c r="A411" s="1"/>
    </row>
    <row r="412" ht="15.75" customHeight="1">
      <c r="A412" s="1"/>
    </row>
    <row r="413" ht="15.75" customHeight="1">
      <c r="A413" s="1"/>
    </row>
    <row r="414" ht="15.75" customHeight="1">
      <c r="A414" s="1"/>
    </row>
    <row r="415" ht="15.75" customHeight="1">
      <c r="A415" s="1"/>
    </row>
    <row r="416" ht="15.75" customHeight="1">
      <c r="A416" s="1"/>
    </row>
    <row r="417" ht="15.75" customHeight="1">
      <c r="A417" s="1"/>
    </row>
    <row r="418" ht="15.75" customHeight="1">
      <c r="A418" s="1"/>
    </row>
    <row r="419" ht="15.75" customHeight="1">
      <c r="A419" s="1"/>
    </row>
    <row r="420" ht="15.75" customHeight="1">
      <c r="A420" s="1"/>
    </row>
    <row r="421" ht="15.75" customHeight="1">
      <c r="A421" s="1"/>
    </row>
    <row r="422" ht="15.75" customHeight="1">
      <c r="A422" s="1"/>
    </row>
    <row r="423" ht="15.75" customHeight="1">
      <c r="A423" s="1"/>
    </row>
    <row r="424" ht="15.75" customHeight="1">
      <c r="A424" s="1"/>
    </row>
    <row r="425" ht="15.75" customHeight="1">
      <c r="A425" s="1"/>
    </row>
    <row r="426" ht="15.75" customHeight="1">
      <c r="A426" s="1"/>
    </row>
    <row r="427" ht="15.75" customHeight="1">
      <c r="A427" s="1"/>
    </row>
    <row r="428" ht="15.75" customHeight="1">
      <c r="A428" s="1"/>
    </row>
    <row r="429" ht="15.75" customHeight="1">
      <c r="A429" s="1"/>
    </row>
    <row r="430" ht="15.75" customHeight="1">
      <c r="A430" s="1"/>
    </row>
    <row r="431" ht="15.75" customHeight="1">
      <c r="A431" s="1"/>
    </row>
    <row r="432" ht="15.75" customHeight="1">
      <c r="A432" s="1"/>
    </row>
    <row r="433" ht="15.75" customHeight="1">
      <c r="A433" s="1"/>
    </row>
    <row r="434" ht="15.75" customHeight="1">
      <c r="A434" s="1"/>
    </row>
    <row r="435" ht="15.75" customHeight="1">
      <c r="A435" s="1"/>
    </row>
    <row r="436" ht="15.75" customHeight="1">
      <c r="A436" s="1"/>
    </row>
    <row r="437" ht="15.75" customHeight="1">
      <c r="A437" s="1"/>
    </row>
    <row r="438" ht="15.75" customHeight="1">
      <c r="A438" s="1"/>
    </row>
    <row r="439" ht="15.75" customHeight="1">
      <c r="A439" s="1"/>
    </row>
    <row r="440" ht="15.75" customHeight="1">
      <c r="A440" s="1"/>
    </row>
    <row r="441" ht="15.75" customHeight="1">
      <c r="A441" s="1"/>
    </row>
    <row r="442" ht="15.75" customHeight="1">
      <c r="A442" s="1"/>
    </row>
    <row r="443" ht="15.75" customHeight="1">
      <c r="A443" s="1"/>
    </row>
    <row r="444" ht="15.75" customHeight="1">
      <c r="A444" s="1"/>
    </row>
    <row r="445" ht="15.75" customHeight="1">
      <c r="A445" s="1"/>
    </row>
    <row r="446" ht="15.75" customHeight="1">
      <c r="A446" s="1"/>
    </row>
    <row r="447" ht="15.75" customHeight="1">
      <c r="A447" s="1"/>
    </row>
    <row r="448" ht="15.75" customHeight="1">
      <c r="A448" s="1"/>
    </row>
    <row r="449" ht="15.75" customHeight="1">
      <c r="A449" s="1"/>
    </row>
    <row r="450" ht="15.75" customHeight="1">
      <c r="A450" s="1"/>
    </row>
    <row r="451" ht="15.75" customHeight="1">
      <c r="A451" s="1"/>
    </row>
    <row r="452" ht="15.75" customHeight="1">
      <c r="A452" s="1"/>
    </row>
    <row r="453" ht="15.75" customHeight="1">
      <c r="A453" s="1"/>
    </row>
    <row r="454" ht="15.75" customHeight="1">
      <c r="A454" s="1"/>
    </row>
    <row r="455" ht="15.75" customHeight="1">
      <c r="A455" s="1"/>
    </row>
    <row r="456" ht="15.75" customHeight="1">
      <c r="A456" s="1"/>
    </row>
    <row r="457" ht="15.75" customHeight="1">
      <c r="A457" s="1"/>
    </row>
    <row r="458" ht="15.75" customHeight="1">
      <c r="A458" s="1"/>
    </row>
    <row r="459" ht="15.75" customHeight="1">
      <c r="A459" s="1"/>
    </row>
    <row r="460" ht="15.75" customHeight="1">
      <c r="A460" s="1"/>
    </row>
    <row r="461" ht="15.75" customHeight="1">
      <c r="A461" s="1"/>
    </row>
    <row r="462" ht="15.75" customHeight="1">
      <c r="A462" s="1"/>
    </row>
    <row r="463" ht="15.75" customHeight="1">
      <c r="A463" s="1"/>
    </row>
    <row r="464" ht="15.75" customHeight="1">
      <c r="A464" s="1"/>
    </row>
    <row r="465" ht="15.75" customHeight="1">
      <c r="A465" s="1"/>
    </row>
    <row r="466" ht="15.75" customHeight="1">
      <c r="A466" s="1"/>
    </row>
    <row r="467" ht="15.75" customHeight="1">
      <c r="A467" s="1"/>
    </row>
    <row r="468" ht="15.75" customHeight="1">
      <c r="A468" s="1"/>
    </row>
    <row r="469" ht="15.75" customHeight="1">
      <c r="A469" s="1"/>
    </row>
    <row r="470" ht="15.75" customHeight="1">
      <c r="A470" s="1"/>
    </row>
    <row r="471" ht="15.75" customHeight="1">
      <c r="A471" s="1"/>
    </row>
    <row r="472" ht="15.75" customHeight="1">
      <c r="A472" s="1"/>
    </row>
    <row r="473" ht="15.75" customHeight="1">
      <c r="A473" s="1"/>
    </row>
    <row r="474" ht="15.75" customHeight="1">
      <c r="A474" s="1"/>
    </row>
    <row r="475" ht="15.75" customHeight="1">
      <c r="A475" s="1"/>
    </row>
    <row r="476" ht="15.75" customHeight="1">
      <c r="A476" s="1"/>
    </row>
    <row r="477" ht="15.75" customHeight="1">
      <c r="A477" s="1"/>
    </row>
    <row r="478" ht="15.75" customHeight="1">
      <c r="A478" s="1"/>
    </row>
    <row r="479" ht="15.75" customHeight="1">
      <c r="A479" s="1"/>
    </row>
    <row r="480" ht="15.75" customHeight="1">
      <c r="A480" s="1"/>
    </row>
    <row r="481" ht="15.75" customHeight="1">
      <c r="A481" s="1"/>
    </row>
    <row r="482" ht="15.75" customHeight="1">
      <c r="A482" s="1"/>
    </row>
    <row r="483" ht="15.75" customHeight="1">
      <c r="A483" s="1"/>
    </row>
    <row r="484" ht="15.75" customHeight="1">
      <c r="A484" s="1"/>
    </row>
    <row r="485" ht="15.75" customHeight="1">
      <c r="A485" s="1"/>
    </row>
    <row r="486" ht="15.75" customHeight="1">
      <c r="A486" s="1"/>
    </row>
    <row r="487" ht="15.75" customHeight="1">
      <c r="A487" s="1"/>
    </row>
    <row r="488" ht="15.75" customHeight="1">
      <c r="A488" s="1"/>
    </row>
    <row r="489" ht="15.75" customHeight="1">
      <c r="A489" s="1"/>
    </row>
    <row r="490" ht="15.75" customHeight="1">
      <c r="A490" s="1"/>
    </row>
    <row r="491" ht="15.75" customHeight="1">
      <c r="A491" s="1"/>
    </row>
    <row r="492" ht="15.75" customHeight="1">
      <c r="A492" s="1"/>
    </row>
    <row r="493" ht="15.75" customHeight="1">
      <c r="A493" s="1"/>
    </row>
    <row r="494" ht="15.75" customHeight="1">
      <c r="A494" s="1"/>
    </row>
    <row r="495" ht="15.75" customHeight="1">
      <c r="A495" s="1"/>
    </row>
    <row r="496" ht="15.75" customHeight="1">
      <c r="A496" s="1"/>
    </row>
    <row r="497" ht="15.75" customHeight="1">
      <c r="A497" s="1"/>
    </row>
    <row r="498" ht="15.75" customHeight="1">
      <c r="A498" s="1"/>
    </row>
    <row r="499" ht="15.75" customHeight="1">
      <c r="A499" s="1"/>
    </row>
    <row r="500" ht="15.75" customHeight="1">
      <c r="A500" s="1"/>
    </row>
    <row r="501" ht="15.75" customHeight="1">
      <c r="A501" s="1"/>
    </row>
    <row r="502" ht="15.75" customHeight="1">
      <c r="A502" s="1"/>
    </row>
    <row r="503" ht="15.75" customHeight="1">
      <c r="A503" s="1"/>
    </row>
    <row r="504" ht="15.75" customHeight="1">
      <c r="A504" s="1"/>
    </row>
    <row r="505" ht="15.75" customHeight="1">
      <c r="A505" s="1"/>
    </row>
    <row r="506" ht="15.75" customHeight="1">
      <c r="A506" s="1"/>
    </row>
    <row r="507" ht="15.75" customHeight="1">
      <c r="A507" s="1"/>
    </row>
    <row r="508" ht="15.75" customHeight="1">
      <c r="A508" s="1"/>
    </row>
    <row r="509" ht="15.75" customHeight="1">
      <c r="A509" s="1"/>
    </row>
    <row r="510" ht="15.75" customHeight="1">
      <c r="A510" s="1"/>
    </row>
    <row r="511" ht="15.75" customHeight="1">
      <c r="A511" s="1"/>
    </row>
    <row r="512" ht="15.75" customHeight="1">
      <c r="A512" s="1"/>
    </row>
    <row r="513" ht="15.75" customHeight="1">
      <c r="A513" s="1"/>
    </row>
    <row r="514" ht="15.75" customHeight="1">
      <c r="A514" s="1"/>
    </row>
    <row r="515" ht="15.75" customHeight="1">
      <c r="A515" s="1"/>
    </row>
    <row r="516" ht="15.75" customHeight="1">
      <c r="A516" s="1"/>
    </row>
    <row r="517" ht="15.75" customHeight="1">
      <c r="A517" s="1"/>
    </row>
    <row r="518" ht="15.75" customHeight="1">
      <c r="A518" s="1"/>
    </row>
    <row r="519" ht="15.75" customHeight="1">
      <c r="A519" s="1"/>
    </row>
    <row r="520" ht="15.75" customHeight="1">
      <c r="A520" s="1"/>
    </row>
    <row r="521" ht="15.75" customHeight="1">
      <c r="A521" s="1"/>
    </row>
    <row r="522" ht="15.75" customHeight="1">
      <c r="A522" s="1"/>
    </row>
    <row r="523" ht="15.75" customHeight="1">
      <c r="A523" s="1"/>
    </row>
    <row r="524" ht="15.75" customHeight="1">
      <c r="A524" s="1"/>
    </row>
    <row r="525" ht="15.75" customHeight="1">
      <c r="A525" s="1"/>
    </row>
    <row r="526" ht="15.75" customHeight="1">
      <c r="A526" s="1"/>
    </row>
    <row r="527" ht="15.75" customHeight="1">
      <c r="A527" s="1"/>
    </row>
    <row r="528" ht="15.75" customHeight="1">
      <c r="A528" s="1"/>
    </row>
    <row r="529" ht="15.75" customHeight="1">
      <c r="A529" s="1"/>
    </row>
    <row r="530" ht="15.75" customHeight="1">
      <c r="A530" s="1"/>
    </row>
    <row r="531" ht="15.75" customHeight="1">
      <c r="A531" s="1"/>
    </row>
    <row r="532" ht="15.75" customHeight="1">
      <c r="A532" s="1"/>
    </row>
    <row r="533" ht="15.75" customHeight="1">
      <c r="A533" s="1"/>
    </row>
    <row r="534" ht="15.75" customHeight="1">
      <c r="A534" s="1"/>
    </row>
    <row r="535" ht="15.75" customHeight="1">
      <c r="A535" s="1"/>
    </row>
    <row r="536" ht="15.75" customHeight="1">
      <c r="A536" s="1"/>
    </row>
    <row r="537" ht="15.75" customHeight="1">
      <c r="A537" s="1"/>
    </row>
    <row r="538" ht="15.75" customHeight="1">
      <c r="A538" s="1"/>
    </row>
    <row r="539" ht="15.75" customHeight="1">
      <c r="A539" s="1"/>
    </row>
    <row r="540" ht="15.75" customHeight="1">
      <c r="A540" s="1"/>
    </row>
    <row r="541" ht="15.75" customHeight="1">
      <c r="A541" s="1"/>
    </row>
    <row r="542" ht="15.75" customHeight="1">
      <c r="A542" s="1"/>
    </row>
    <row r="543" ht="15.75" customHeight="1">
      <c r="A543" s="1"/>
    </row>
    <row r="544" ht="15.75" customHeight="1">
      <c r="A544" s="1"/>
    </row>
    <row r="545" ht="15.75" customHeight="1">
      <c r="A545" s="1"/>
    </row>
    <row r="546" ht="15.75" customHeight="1">
      <c r="A546" s="1"/>
    </row>
    <row r="547" ht="15.75" customHeight="1">
      <c r="A547" s="1"/>
    </row>
    <row r="548" ht="15.75" customHeight="1">
      <c r="A548" s="1"/>
    </row>
    <row r="549" ht="15.75" customHeight="1">
      <c r="A549" s="1"/>
    </row>
    <row r="550" ht="15.75" customHeight="1">
      <c r="A550" s="1"/>
    </row>
    <row r="551" ht="15.75" customHeight="1">
      <c r="A551" s="1"/>
    </row>
    <row r="552" ht="15.75" customHeight="1">
      <c r="A552" s="1"/>
    </row>
    <row r="553" ht="15.75" customHeight="1">
      <c r="A553" s="1"/>
    </row>
    <row r="554" ht="15.75" customHeight="1">
      <c r="A554" s="1"/>
    </row>
    <row r="555" ht="15.75" customHeight="1">
      <c r="A555" s="1"/>
    </row>
    <row r="556" ht="15.75" customHeight="1">
      <c r="A556" s="1"/>
    </row>
    <row r="557" ht="15.75" customHeight="1">
      <c r="A557" s="1"/>
    </row>
    <row r="558" ht="15.75" customHeight="1">
      <c r="A558" s="1"/>
    </row>
    <row r="559" ht="15.75" customHeight="1">
      <c r="A559" s="1"/>
    </row>
    <row r="560" ht="15.75" customHeight="1">
      <c r="A560" s="1"/>
    </row>
    <row r="561" ht="15.75" customHeight="1">
      <c r="A561" s="1"/>
    </row>
    <row r="562" ht="15.75" customHeight="1">
      <c r="A562" s="1"/>
    </row>
    <row r="563" ht="15.75" customHeight="1">
      <c r="A563" s="1"/>
    </row>
    <row r="564" ht="15.75" customHeight="1">
      <c r="A564" s="1"/>
    </row>
    <row r="565" ht="15.75" customHeight="1">
      <c r="A565" s="1"/>
    </row>
    <row r="566" ht="15.75" customHeight="1">
      <c r="A566" s="1"/>
    </row>
    <row r="567" ht="15.75" customHeight="1">
      <c r="A567" s="1"/>
    </row>
    <row r="568" ht="15.75" customHeight="1">
      <c r="A568" s="1"/>
    </row>
    <row r="569" ht="15.75" customHeight="1">
      <c r="A569" s="1"/>
    </row>
    <row r="570" ht="15.75" customHeight="1">
      <c r="A570" s="1"/>
    </row>
    <row r="571" ht="15.75" customHeight="1">
      <c r="A571" s="1"/>
    </row>
    <row r="572" ht="15.75" customHeight="1">
      <c r="A572" s="1"/>
    </row>
    <row r="573" ht="15.75" customHeight="1">
      <c r="A573" s="1"/>
    </row>
    <row r="574" ht="15.75" customHeight="1">
      <c r="A574" s="1"/>
    </row>
    <row r="575" ht="15.75" customHeight="1">
      <c r="A575" s="1"/>
    </row>
    <row r="576" ht="15.75" customHeight="1">
      <c r="A576" s="1"/>
    </row>
    <row r="577" ht="15.75" customHeight="1">
      <c r="A577" s="1"/>
    </row>
    <row r="578" ht="15.75" customHeight="1">
      <c r="A578" s="1"/>
    </row>
    <row r="579" ht="15.75" customHeight="1">
      <c r="A579" s="1"/>
    </row>
    <row r="580" ht="15.75" customHeight="1">
      <c r="A580" s="1"/>
    </row>
    <row r="581" ht="15.75" customHeight="1">
      <c r="A581" s="1"/>
    </row>
    <row r="582" ht="15.75" customHeight="1">
      <c r="A582" s="1"/>
    </row>
    <row r="583" ht="15.75" customHeight="1">
      <c r="A583" s="1"/>
    </row>
    <row r="584" ht="15.75" customHeight="1">
      <c r="A584" s="1"/>
    </row>
    <row r="585" ht="15.75" customHeight="1">
      <c r="A585" s="1"/>
    </row>
    <row r="586" ht="15.75" customHeight="1">
      <c r="A586" s="1"/>
    </row>
    <row r="587" ht="15.75" customHeight="1">
      <c r="A587" s="1"/>
    </row>
    <row r="588" ht="15.75" customHeight="1">
      <c r="A588" s="1"/>
    </row>
    <row r="589" ht="15.75" customHeight="1">
      <c r="A589" s="1"/>
    </row>
    <row r="590" ht="15.75" customHeight="1">
      <c r="A590" s="1"/>
    </row>
    <row r="591" ht="15.75" customHeight="1">
      <c r="A591" s="1"/>
    </row>
    <row r="592" ht="15.75" customHeight="1">
      <c r="A592" s="1"/>
    </row>
    <row r="593" ht="15.75" customHeight="1">
      <c r="A593" s="1"/>
    </row>
    <row r="594" ht="15.75" customHeight="1">
      <c r="A594" s="1"/>
    </row>
    <row r="595" ht="15.75" customHeight="1">
      <c r="A595" s="1"/>
    </row>
    <row r="596" ht="15.75" customHeight="1">
      <c r="A596" s="1"/>
    </row>
    <row r="597" ht="15.75" customHeight="1">
      <c r="A597" s="1"/>
    </row>
    <row r="598" ht="15.75" customHeight="1">
      <c r="A598" s="1"/>
    </row>
    <row r="599" ht="15.75" customHeight="1">
      <c r="A599" s="1"/>
    </row>
    <row r="600" ht="15.75" customHeight="1">
      <c r="A600" s="1"/>
    </row>
    <row r="601" ht="15.75" customHeight="1">
      <c r="A601" s="1"/>
    </row>
    <row r="602" ht="15.75" customHeight="1">
      <c r="A602" s="1"/>
    </row>
    <row r="603" ht="15.75" customHeight="1">
      <c r="A603" s="1"/>
    </row>
    <row r="604" ht="15.75" customHeight="1">
      <c r="A604" s="1"/>
    </row>
    <row r="605" ht="15.75" customHeight="1">
      <c r="A605" s="1"/>
    </row>
    <row r="606" ht="15.75" customHeight="1">
      <c r="A606" s="1"/>
    </row>
    <row r="607" ht="15.75" customHeight="1">
      <c r="A607" s="1"/>
    </row>
    <row r="608" ht="15.75" customHeight="1">
      <c r="A608" s="1"/>
    </row>
    <row r="609" ht="15.75" customHeight="1">
      <c r="A609" s="1"/>
    </row>
    <row r="610" ht="15.75" customHeight="1">
      <c r="A610" s="1"/>
    </row>
    <row r="611" ht="15.75" customHeight="1">
      <c r="A611" s="1"/>
    </row>
    <row r="612" ht="15.75" customHeight="1">
      <c r="A612" s="1"/>
    </row>
    <row r="613" ht="15.75" customHeight="1">
      <c r="A613" s="1"/>
    </row>
    <row r="614" ht="15.75" customHeight="1">
      <c r="A614" s="1"/>
    </row>
    <row r="615" ht="15.75" customHeight="1">
      <c r="A615" s="1"/>
    </row>
    <row r="616" ht="15.75" customHeight="1">
      <c r="A616" s="1"/>
    </row>
    <row r="617" ht="15.75" customHeight="1">
      <c r="A617" s="1"/>
    </row>
    <row r="618" ht="15.75" customHeight="1">
      <c r="A618" s="1"/>
    </row>
    <row r="619" ht="15.75" customHeight="1">
      <c r="A619" s="1"/>
    </row>
    <row r="620" ht="15.75" customHeight="1">
      <c r="A620" s="1"/>
    </row>
    <row r="621" ht="15.75" customHeight="1">
      <c r="A621" s="1"/>
    </row>
    <row r="622" ht="15.75" customHeight="1">
      <c r="A622" s="1"/>
    </row>
    <row r="623" ht="15.75" customHeight="1">
      <c r="A623" s="1"/>
    </row>
    <row r="624" ht="15.75" customHeight="1">
      <c r="A624" s="1"/>
    </row>
    <row r="625" ht="15.75" customHeight="1">
      <c r="A625" s="1"/>
    </row>
    <row r="626" ht="15.75" customHeight="1">
      <c r="A626" s="1"/>
    </row>
    <row r="627" ht="15.75" customHeight="1">
      <c r="A627" s="1"/>
    </row>
    <row r="628" ht="15.75" customHeight="1">
      <c r="A628" s="1"/>
    </row>
    <row r="629" ht="15.75" customHeight="1">
      <c r="A629" s="1"/>
    </row>
    <row r="630" ht="15.75" customHeight="1">
      <c r="A630" s="1"/>
    </row>
    <row r="631" ht="15.75" customHeight="1">
      <c r="A631" s="1"/>
    </row>
    <row r="632" ht="15.75" customHeight="1">
      <c r="A632" s="1"/>
    </row>
    <row r="633" ht="15.75" customHeight="1">
      <c r="A633" s="1"/>
    </row>
    <row r="634" ht="15.75" customHeight="1">
      <c r="A634" s="1"/>
    </row>
    <row r="635" ht="15.75" customHeight="1">
      <c r="A635" s="1"/>
    </row>
    <row r="636" ht="15.75" customHeight="1">
      <c r="A636" s="1"/>
    </row>
    <row r="637" ht="15.75" customHeight="1">
      <c r="A637" s="1"/>
    </row>
    <row r="638" ht="15.75" customHeight="1">
      <c r="A638" s="1"/>
    </row>
    <row r="639" ht="15.75" customHeight="1">
      <c r="A639" s="1"/>
    </row>
    <row r="640" ht="15.75" customHeight="1">
      <c r="A640" s="1"/>
    </row>
    <row r="641" ht="15.75" customHeight="1">
      <c r="A641" s="1"/>
    </row>
    <row r="642" ht="15.75" customHeight="1">
      <c r="A642" s="1"/>
    </row>
    <row r="643" ht="15.75" customHeight="1">
      <c r="A643" s="1"/>
    </row>
    <row r="644" ht="15.75" customHeight="1">
      <c r="A644" s="1"/>
    </row>
    <row r="645" ht="15.75" customHeight="1">
      <c r="A645" s="1"/>
    </row>
    <row r="646" ht="15.75" customHeight="1">
      <c r="A646" s="1"/>
    </row>
    <row r="647" ht="15.75" customHeight="1">
      <c r="A647" s="1"/>
    </row>
    <row r="648" ht="15.75" customHeight="1">
      <c r="A648" s="1"/>
    </row>
    <row r="649" ht="15.75" customHeight="1">
      <c r="A649" s="1"/>
    </row>
    <row r="650" ht="15.75" customHeight="1">
      <c r="A650" s="1"/>
    </row>
    <row r="651" ht="15.75" customHeight="1">
      <c r="A651" s="1"/>
    </row>
    <row r="652" ht="15.75" customHeight="1">
      <c r="A652" s="1"/>
    </row>
    <row r="653" ht="15.75" customHeight="1">
      <c r="A653" s="1"/>
    </row>
    <row r="654" ht="15.75" customHeight="1">
      <c r="A654" s="1"/>
    </row>
    <row r="655" ht="15.75" customHeight="1">
      <c r="A655" s="1"/>
    </row>
    <row r="656" ht="15.75" customHeight="1">
      <c r="A656" s="1"/>
    </row>
    <row r="657" ht="15.75" customHeight="1">
      <c r="A657" s="1"/>
    </row>
    <row r="658" ht="15.75" customHeight="1">
      <c r="A658" s="1"/>
    </row>
    <row r="659" ht="15.75" customHeight="1">
      <c r="A659" s="1"/>
    </row>
    <row r="660" ht="15.75" customHeight="1">
      <c r="A660" s="1"/>
    </row>
    <row r="661" ht="15.75" customHeight="1">
      <c r="A661" s="1"/>
    </row>
    <row r="662" ht="15.75" customHeight="1">
      <c r="A662" s="1"/>
    </row>
    <row r="663" ht="15.75" customHeight="1">
      <c r="A663" s="1"/>
    </row>
    <row r="664" ht="15.75" customHeight="1">
      <c r="A664" s="1"/>
    </row>
    <row r="665" ht="15.75" customHeight="1">
      <c r="A665" s="1"/>
    </row>
    <row r="666" ht="15.75" customHeight="1">
      <c r="A666" s="1"/>
    </row>
    <row r="667" ht="15.75" customHeight="1">
      <c r="A667" s="1"/>
    </row>
    <row r="668" ht="15.75" customHeight="1">
      <c r="A668" s="1"/>
    </row>
    <row r="669" ht="15.75" customHeight="1">
      <c r="A669" s="1"/>
    </row>
    <row r="670" ht="15.75" customHeight="1">
      <c r="A670" s="1"/>
    </row>
    <row r="671" ht="15.75" customHeight="1">
      <c r="A671" s="1"/>
    </row>
    <row r="672" ht="15.75" customHeight="1">
      <c r="A672" s="1"/>
    </row>
    <row r="673" ht="15.75" customHeight="1">
      <c r="A673" s="1"/>
    </row>
    <row r="674" ht="15.75" customHeight="1">
      <c r="A674" s="1"/>
    </row>
    <row r="675" ht="15.75" customHeight="1">
      <c r="A675" s="1"/>
    </row>
    <row r="676" ht="15.75" customHeight="1">
      <c r="A676" s="1"/>
    </row>
    <row r="677" ht="15.75" customHeight="1">
      <c r="A677" s="1"/>
    </row>
    <row r="678" ht="15.75" customHeight="1">
      <c r="A678" s="1"/>
    </row>
    <row r="679" ht="15.75" customHeight="1">
      <c r="A679" s="1"/>
    </row>
    <row r="680" ht="15.75" customHeight="1">
      <c r="A680" s="1"/>
    </row>
    <row r="681" ht="15.75" customHeight="1">
      <c r="A681" s="1"/>
    </row>
    <row r="682" ht="15.75" customHeight="1">
      <c r="A682" s="1"/>
    </row>
    <row r="683" ht="15.75" customHeight="1">
      <c r="A683" s="1"/>
    </row>
    <row r="684" ht="15.75" customHeight="1">
      <c r="A684" s="1"/>
    </row>
    <row r="685" ht="15.75" customHeight="1">
      <c r="A685" s="1"/>
    </row>
    <row r="686" ht="15.75" customHeight="1">
      <c r="A686" s="1"/>
    </row>
    <row r="687" ht="15.75" customHeight="1">
      <c r="A687" s="1"/>
    </row>
    <row r="688" ht="15.75" customHeight="1">
      <c r="A688" s="1"/>
    </row>
    <row r="689" ht="15.75" customHeight="1">
      <c r="A689" s="1"/>
    </row>
    <row r="690" ht="15.75" customHeight="1">
      <c r="A690" s="1"/>
    </row>
    <row r="691" ht="15.75" customHeight="1">
      <c r="A691" s="1"/>
    </row>
    <row r="692" ht="15.75" customHeight="1">
      <c r="A692" s="1"/>
    </row>
    <row r="693" ht="15.75" customHeight="1">
      <c r="A693" s="1"/>
    </row>
    <row r="694" ht="15.75" customHeight="1">
      <c r="A694" s="1"/>
    </row>
    <row r="695" ht="15.75" customHeight="1">
      <c r="A695" s="1"/>
    </row>
    <row r="696" ht="15.75" customHeight="1">
      <c r="A696" s="1"/>
    </row>
    <row r="697" ht="15.75" customHeight="1">
      <c r="A697" s="1"/>
    </row>
    <row r="698" ht="15.75" customHeight="1">
      <c r="A698" s="1"/>
    </row>
    <row r="699" ht="15.75" customHeight="1">
      <c r="A699" s="1"/>
    </row>
    <row r="700" ht="15.75" customHeight="1">
      <c r="A700" s="1"/>
    </row>
    <row r="701" ht="15.75" customHeight="1">
      <c r="A701" s="1"/>
    </row>
    <row r="702" ht="15.75" customHeight="1">
      <c r="A702" s="1"/>
    </row>
    <row r="703" ht="15.75" customHeight="1">
      <c r="A703" s="1"/>
    </row>
    <row r="704" ht="15.75" customHeight="1">
      <c r="A704" s="1"/>
    </row>
    <row r="705" ht="15.75" customHeight="1">
      <c r="A705" s="1"/>
    </row>
    <row r="706" ht="15.75" customHeight="1">
      <c r="A706" s="1"/>
    </row>
    <row r="707" ht="15.75" customHeight="1">
      <c r="A707" s="1"/>
    </row>
    <row r="708" ht="15.75" customHeight="1">
      <c r="A708" s="1"/>
    </row>
    <row r="709" ht="15.75" customHeight="1">
      <c r="A709" s="1"/>
    </row>
    <row r="710" ht="15.75" customHeight="1">
      <c r="A710" s="1"/>
    </row>
    <row r="711" ht="15.75" customHeight="1">
      <c r="A711" s="1"/>
    </row>
    <row r="712" ht="15.75" customHeight="1">
      <c r="A712" s="1"/>
    </row>
    <row r="713" ht="15.75" customHeight="1">
      <c r="A713" s="1"/>
    </row>
    <row r="714" ht="15.75" customHeight="1">
      <c r="A714" s="1"/>
    </row>
    <row r="715" ht="15.75" customHeight="1">
      <c r="A715" s="1"/>
    </row>
    <row r="716" ht="15.75" customHeight="1">
      <c r="A716" s="1"/>
    </row>
    <row r="717" ht="15.75" customHeight="1">
      <c r="A717" s="1"/>
    </row>
    <row r="718" ht="15.75" customHeight="1">
      <c r="A718" s="1"/>
    </row>
    <row r="719" ht="15.75" customHeight="1">
      <c r="A719" s="1"/>
    </row>
    <row r="720" ht="15.75" customHeight="1">
      <c r="A720" s="1"/>
    </row>
    <row r="721" ht="15.75" customHeight="1">
      <c r="A721" s="1"/>
    </row>
    <row r="722" ht="15.75" customHeight="1">
      <c r="A722" s="1"/>
    </row>
    <row r="723" ht="15.75" customHeight="1">
      <c r="A723" s="1"/>
    </row>
    <row r="724" ht="15.75" customHeight="1">
      <c r="A724" s="1"/>
    </row>
    <row r="725" ht="15.75" customHeight="1">
      <c r="A725" s="1"/>
    </row>
    <row r="726" ht="15.75" customHeight="1">
      <c r="A726" s="1"/>
    </row>
    <row r="727" ht="15.75" customHeight="1">
      <c r="A727" s="1"/>
    </row>
    <row r="728" ht="15.75" customHeight="1">
      <c r="A728" s="1"/>
    </row>
    <row r="729" ht="15.75" customHeight="1">
      <c r="A729" s="1"/>
    </row>
    <row r="730" ht="15.75" customHeight="1">
      <c r="A730" s="1"/>
    </row>
    <row r="731" ht="15.75" customHeight="1">
      <c r="A731" s="1"/>
    </row>
    <row r="732" ht="15.75" customHeight="1">
      <c r="A732" s="1"/>
    </row>
    <row r="733" ht="15.75" customHeight="1">
      <c r="A733" s="1"/>
    </row>
    <row r="734" ht="15.75" customHeight="1">
      <c r="A734" s="1"/>
    </row>
    <row r="735" ht="15.75" customHeight="1">
      <c r="A735" s="1"/>
    </row>
    <row r="736" ht="15.75" customHeight="1">
      <c r="A736" s="1"/>
    </row>
    <row r="737" ht="15.75" customHeight="1">
      <c r="A737" s="1"/>
    </row>
    <row r="738" ht="15.75" customHeight="1">
      <c r="A738" s="1"/>
    </row>
    <row r="739" ht="15.75" customHeight="1">
      <c r="A739" s="1"/>
    </row>
    <row r="740" ht="15.75" customHeight="1">
      <c r="A740" s="1"/>
    </row>
    <row r="741" ht="15.75" customHeight="1">
      <c r="A741" s="1"/>
    </row>
    <row r="742" ht="15.75" customHeight="1">
      <c r="A742" s="1"/>
    </row>
    <row r="743" ht="15.75" customHeight="1">
      <c r="A743" s="1"/>
    </row>
    <row r="744" ht="15.75" customHeight="1">
      <c r="A744" s="1"/>
    </row>
    <row r="745" ht="15.75" customHeight="1">
      <c r="A745" s="1"/>
    </row>
    <row r="746" ht="15.75" customHeight="1">
      <c r="A746" s="1"/>
    </row>
    <row r="747" ht="15.75" customHeight="1">
      <c r="A747" s="1"/>
    </row>
    <row r="748" ht="15.75" customHeight="1">
      <c r="A748" s="1"/>
    </row>
    <row r="749" ht="15.75" customHeight="1">
      <c r="A749" s="1"/>
    </row>
    <row r="750" ht="15.75" customHeight="1">
      <c r="A750" s="1"/>
    </row>
    <row r="751" ht="15.75" customHeight="1">
      <c r="A751" s="1"/>
    </row>
    <row r="752" ht="15.75" customHeight="1">
      <c r="A752" s="1"/>
    </row>
    <row r="753" ht="15.75" customHeight="1">
      <c r="A753" s="1"/>
    </row>
    <row r="754" ht="15.75" customHeight="1">
      <c r="A754" s="1"/>
    </row>
    <row r="755" ht="15.75" customHeight="1">
      <c r="A755" s="1"/>
    </row>
    <row r="756" ht="15.75" customHeight="1">
      <c r="A756" s="1"/>
    </row>
    <row r="757" ht="15.75" customHeight="1">
      <c r="A757" s="1"/>
    </row>
    <row r="758" ht="15.75" customHeight="1">
      <c r="A758" s="1"/>
    </row>
    <row r="759" ht="15.75" customHeight="1">
      <c r="A759" s="1"/>
    </row>
    <row r="760" ht="15.75" customHeight="1">
      <c r="A760" s="1"/>
    </row>
    <row r="761" ht="15.75" customHeight="1">
      <c r="A761" s="1"/>
    </row>
    <row r="762" ht="15.75" customHeight="1">
      <c r="A762" s="1"/>
    </row>
    <row r="763" ht="15.75" customHeight="1">
      <c r="A763" s="1"/>
    </row>
    <row r="764" ht="15.75" customHeight="1">
      <c r="A764" s="1"/>
    </row>
    <row r="765" ht="15.75" customHeight="1">
      <c r="A765" s="1"/>
    </row>
    <row r="766" ht="15.75" customHeight="1">
      <c r="A766" s="1"/>
    </row>
    <row r="767" ht="15.75" customHeight="1">
      <c r="A767" s="1"/>
    </row>
    <row r="768" ht="15.75" customHeight="1">
      <c r="A768" s="1"/>
    </row>
    <row r="769" ht="15.75" customHeight="1">
      <c r="A769" s="1"/>
    </row>
    <row r="770" ht="15.75" customHeight="1">
      <c r="A770" s="1"/>
    </row>
    <row r="771" ht="15.75" customHeight="1">
      <c r="A771" s="1"/>
    </row>
    <row r="772" ht="15.75" customHeight="1">
      <c r="A772" s="1"/>
    </row>
    <row r="773" ht="15.75" customHeight="1">
      <c r="A773" s="1"/>
    </row>
    <row r="774" ht="15.75" customHeight="1">
      <c r="A774" s="1"/>
    </row>
    <row r="775" ht="15.75" customHeight="1">
      <c r="A775" s="1"/>
    </row>
    <row r="776" ht="15.75" customHeight="1">
      <c r="A776" s="1"/>
    </row>
    <row r="777" ht="15.75" customHeight="1">
      <c r="A777" s="1"/>
    </row>
    <row r="778" ht="15.75" customHeight="1">
      <c r="A778" s="1"/>
    </row>
    <row r="779" ht="15.75" customHeight="1">
      <c r="A779" s="1"/>
    </row>
    <row r="780" ht="15.75" customHeight="1">
      <c r="A780" s="1"/>
    </row>
    <row r="781" ht="15.75" customHeight="1">
      <c r="A781" s="1"/>
    </row>
    <row r="782" ht="15.75" customHeight="1">
      <c r="A782" s="1"/>
    </row>
    <row r="783" ht="15.75" customHeight="1">
      <c r="A783" s="1"/>
    </row>
    <row r="784" ht="15.75" customHeight="1">
      <c r="A784" s="1"/>
    </row>
    <row r="785" ht="15.75" customHeight="1">
      <c r="A785" s="1"/>
    </row>
    <row r="786" ht="15.75" customHeight="1">
      <c r="A786" s="1"/>
    </row>
    <row r="787" ht="15.75" customHeight="1">
      <c r="A787" s="1"/>
    </row>
    <row r="788" ht="15.75" customHeight="1">
      <c r="A788" s="1"/>
    </row>
    <row r="789" ht="15.75" customHeight="1">
      <c r="A789" s="1"/>
    </row>
    <row r="790" ht="15.75" customHeight="1">
      <c r="A790" s="1"/>
    </row>
    <row r="791" ht="15.75" customHeight="1">
      <c r="A791" s="1"/>
    </row>
    <row r="792" ht="15.75" customHeight="1">
      <c r="A792" s="1"/>
    </row>
    <row r="793" ht="15.75" customHeight="1">
      <c r="A793" s="1"/>
    </row>
    <row r="794" ht="15.75" customHeight="1">
      <c r="A794" s="1"/>
    </row>
    <row r="795" ht="15.75" customHeight="1">
      <c r="A795" s="1"/>
    </row>
    <row r="796" ht="15.75" customHeight="1">
      <c r="A796" s="1"/>
    </row>
    <row r="797" ht="15.75" customHeight="1">
      <c r="A797" s="1"/>
    </row>
    <row r="798" ht="15.75" customHeight="1">
      <c r="A798" s="1"/>
    </row>
    <row r="799" ht="15.75" customHeight="1">
      <c r="A799" s="1"/>
    </row>
    <row r="800" ht="15.75" customHeight="1">
      <c r="A800" s="1"/>
    </row>
    <row r="801" ht="15.75" customHeight="1">
      <c r="A801" s="1"/>
    </row>
    <row r="802" ht="15.75" customHeight="1">
      <c r="A802" s="1"/>
    </row>
    <row r="803" ht="15.75" customHeight="1">
      <c r="A803" s="1"/>
    </row>
    <row r="804" ht="15.75" customHeight="1">
      <c r="A804" s="1"/>
    </row>
    <row r="805" ht="15.75" customHeight="1">
      <c r="A805" s="1"/>
    </row>
    <row r="806" ht="15.75" customHeight="1">
      <c r="A806" s="1"/>
    </row>
    <row r="807" ht="15.75" customHeight="1">
      <c r="A807" s="1"/>
    </row>
    <row r="808" ht="15.75" customHeight="1">
      <c r="A808" s="1"/>
    </row>
    <row r="809" ht="15.75" customHeight="1">
      <c r="A809" s="1"/>
    </row>
    <row r="810" ht="15.75" customHeight="1">
      <c r="A810" s="1"/>
    </row>
    <row r="811" ht="15.75" customHeight="1">
      <c r="A811" s="1"/>
    </row>
    <row r="812" ht="15.75" customHeight="1">
      <c r="A812" s="1"/>
    </row>
    <row r="813" ht="15.75" customHeight="1">
      <c r="A813" s="1"/>
    </row>
    <row r="814" ht="15.75" customHeight="1">
      <c r="A814" s="1"/>
    </row>
    <row r="815" ht="15.75" customHeight="1">
      <c r="A815" s="1"/>
    </row>
    <row r="816" ht="15.75" customHeight="1">
      <c r="A816" s="1"/>
    </row>
    <row r="817" ht="15.75" customHeight="1">
      <c r="A817" s="1"/>
    </row>
    <row r="818" ht="15.75" customHeight="1">
      <c r="A818" s="1"/>
    </row>
    <row r="819" ht="15.75" customHeight="1">
      <c r="A819" s="1"/>
    </row>
    <row r="820" ht="15.75" customHeight="1">
      <c r="A820" s="1"/>
    </row>
    <row r="821" ht="15.75" customHeight="1">
      <c r="A821" s="1"/>
    </row>
    <row r="822" ht="15.75" customHeight="1">
      <c r="A822" s="1"/>
    </row>
    <row r="823" ht="15.75" customHeight="1">
      <c r="A823" s="1"/>
    </row>
    <row r="824" ht="15.75" customHeight="1">
      <c r="A824" s="1"/>
    </row>
    <row r="825" ht="15.75" customHeight="1">
      <c r="A825" s="1"/>
    </row>
    <row r="826" ht="15.75" customHeight="1">
      <c r="A826" s="1"/>
    </row>
    <row r="827" ht="15.75" customHeight="1">
      <c r="A827" s="1"/>
    </row>
    <row r="828" ht="15.75" customHeight="1">
      <c r="A828" s="1"/>
    </row>
    <row r="829" ht="15.75" customHeight="1">
      <c r="A829" s="1"/>
    </row>
    <row r="830" ht="15.75" customHeight="1">
      <c r="A830" s="1"/>
    </row>
    <row r="831" ht="15.75" customHeight="1">
      <c r="A831" s="1"/>
    </row>
    <row r="832" ht="15.75" customHeight="1">
      <c r="A832" s="1"/>
    </row>
    <row r="833" ht="15.75" customHeight="1">
      <c r="A833" s="1"/>
    </row>
    <row r="834" ht="15.75" customHeight="1">
      <c r="A834" s="1"/>
    </row>
    <row r="835" ht="15.75" customHeight="1">
      <c r="A835" s="1"/>
    </row>
    <row r="836" ht="15.75" customHeight="1">
      <c r="A836" s="1"/>
    </row>
    <row r="837" ht="15.75" customHeight="1">
      <c r="A837" s="1"/>
    </row>
    <row r="838" ht="15.75" customHeight="1">
      <c r="A838" s="1"/>
    </row>
    <row r="839" ht="15.75" customHeight="1">
      <c r="A839" s="1"/>
    </row>
    <row r="840" ht="15.75" customHeight="1">
      <c r="A840" s="1"/>
    </row>
    <row r="841" ht="15.75" customHeight="1">
      <c r="A841" s="1"/>
    </row>
    <row r="842" ht="15.75" customHeight="1">
      <c r="A842" s="1"/>
    </row>
    <row r="843" ht="15.75" customHeight="1">
      <c r="A843" s="1"/>
    </row>
    <row r="844" ht="15.75" customHeight="1">
      <c r="A844" s="1"/>
    </row>
    <row r="845" ht="15.75" customHeight="1">
      <c r="A845" s="1"/>
    </row>
    <row r="846" ht="15.75" customHeight="1">
      <c r="A846" s="1"/>
    </row>
    <row r="847" ht="15.75" customHeight="1">
      <c r="A847" s="1"/>
    </row>
    <row r="848" ht="15.75" customHeight="1">
      <c r="A848" s="1"/>
    </row>
    <row r="849" ht="15.75" customHeight="1">
      <c r="A849" s="1"/>
    </row>
    <row r="850" ht="15.75" customHeight="1">
      <c r="A850" s="1"/>
    </row>
    <row r="851" ht="15.75" customHeight="1">
      <c r="A851" s="1"/>
    </row>
    <row r="852" ht="15.75" customHeight="1">
      <c r="A852" s="1"/>
    </row>
    <row r="853" ht="15.75" customHeight="1">
      <c r="A853" s="1"/>
    </row>
    <row r="854" ht="15.75" customHeight="1">
      <c r="A854" s="1"/>
    </row>
    <row r="855" ht="15.75" customHeight="1">
      <c r="A855" s="1"/>
    </row>
    <row r="856" ht="15.75" customHeight="1">
      <c r="A856" s="1"/>
    </row>
    <row r="857" ht="15.75" customHeight="1">
      <c r="A857" s="1"/>
    </row>
    <row r="858" ht="15.75" customHeight="1">
      <c r="A858" s="1"/>
    </row>
    <row r="859" ht="15.75" customHeight="1">
      <c r="A859" s="1"/>
    </row>
    <row r="860" ht="15.75" customHeight="1">
      <c r="A860" s="1"/>
    </row>
    <row r="861" ht="15.75" customHeight="1">
      <c r="A861" s="1"/>
    </row>
    <row r="862" ht="15.75" customHeight="1">
      <c r="A862" s="1"/>
    </row>
    <row r="863" ht="15.75" customHeight="1">
      <c r="A863" s="1"/>
    </row>
    <row r="864" ht="15.75" customHeight="1">
      <c r="A864" s="1"/>
    </row>
    <row r="865" ht="15.75" customHeight="1">
      <c r="A865" s="1"/>
    </row>
    <row r="866" ht="15.75" customHeight="1">
      <c r="A866" s="1"/>
    </row>
    <row r="867" ht="15.75" customHeight="1">
      <c r="A867" s="1"/>
    </row>
    <row r="868" ht="15.75" customHeight="1">
      <c r="A868" s="1"/>
    </row>
    <row r="869" ht="15.75" customHeight="1">
      <c r="A869" s="1"/>
    </row>
    <row r="870" ht="15.75" customHeight="1">
      <c r="A870" s="1"/>
    </row>
    <row r="871" ht="15.75" customHeight="1">
      <c r="A871" s="1"/>
    </row>
    <row r="872" ht="15.75" customHeight="1">
      <c r="A872" s="1"/>
    </row>
    <row r="873" ht="15.75" customHeight="1">
      <c r="A873" s="1"/>
    </row>
    <row r="874" ht="15.75" customHeight="1">
      <c r="A874" s="1"/>
    </row>
    <row r="875" ht="15.75" customHeight="1">
      <c r="A875" s="1"/>
    </row>
    <row r="876" ht="15.75" customHeight="1">
      <c r="A876" s="1"/>
    </row>
    <row r="877" ht="15.75" customHeight="1">
      <c r="A877" s="1"/>
    </row>
    <row r="878" ht="15.75" customHeight="1">
      <c r="A878" s="1"/>
    </row>
    <row r="879" ht="15.75" customHeight="1">
      <c r="A879" s="1"/>
    </row>
    <row r="880" ht="15.75" customHeight="1">
      <c r="A880" s="1"/>
    </row>
    <row r="881" ht="15.75" customHeight="1">
      <c r="A881" s="1"/>
    </row>
    <row r="882" ht="15.75" customHeight="1">
      <c r="A882" s="1"/>
    </row>
    <row r="883" ht="15.75" customHeight="1">
      <c r="A883" s="1"/>
    </row>
    <row r="884" ht="15.75" customHeight="1">
      <c r="A884" s="1"/>
    </row>
    <row r="885" ht="15.75" customHeight="1">
      <c r="A885" s="1"/>
    </row>
    <row r="886" ht="15.75" customHeight="1">
      <c r="A886" s="1"/>
    </row>
    <row r="887" ht="15.75" customHeight="1">
      <c r="A887" s="1"/>
    </row>
    <row r="888" ht="15.75" customHeight="1">
      <c r="A888" s="1"/>
    </row>
    <row r="889" ht="15.75" customHeight="1">
      <c r="A889" s="1"/>
    </row>
    <row r="890" ht="15.75" customHeight="1">
      <c r="A890" s="1"/>
    </row>
    <row r="891" ht="15.75" customHeight="1">
      <c r="A891" s="1"/>
    </row>
    <row r="892" ht="15.75" customHeight="1">
      <c r="A892" s="1"/>
    </row>
    <row r="893" ht="15.75" customHeight="1">
      <c r="A893" s="1"/>
    </row>
    <row r="894" ht="15.75" customHeight="1">
      <c r="A894" s="1"/>
    </row>
    <row r="895" ht="15.75" customHeight="1">
      <c r="A895" s="1"/>
    </row>
    <row r="896" ht="15.75" customHeight="1">
      <c r="A896" s="1"/>
    </row>
    <row r="897" ht="15.75" customHeight="1">
      <c r="A897" s="1"/>
    </row>
    <row r="898" ht="15.75" customHeight="1">
      <c r="A898" s="1"/>
    </row>
    <row r="899" ht="15.75" customHeight="1">
      <c r="A899" s="1"/>
    </row>
    <row r="900" ht="15.75" customHeight="1">
      <c r="A900" s="1"/>
    </row>
    <row r="901" ht="15.75" customHeight="1">
      <c r="A901" s="1"/>
    </row>
    <row r="902" ht="15.75" customHeight="1">
      <c r="A902" s="1"/>
    </row>
    <row r="903" ht="15.75" customHeight="1">
      <c r="A903" s="1"/>
    </row>
    <row r="904" ht="15.75" customHeight="1">
      <c r="A904" s="1"/>
    </row>
    <row r="905" ht="15.75" customHeight="1">
      <c r="A905" s="1"/>
    </row>
    <row r="906" ht="15.75" customHeight="1">
      <c r="A906" s="1"/>
    </row>
    <row r="907" ht="15.75" customHeight="1">
      <c r="A907" s="1"/>
    </row>
    <row r="908" ht="15.75" customHeight="1">
      <c r="A908" s="1"/>
    </row>
    <row r="909" ht="15.75" customHeight="1">
      <c r="A909" s="1"/>
    </row>
    <row r="910" ht="15.75" customHeight="1">
      <c r="A910" s="1"/>
    </row>
    <row r="911" ht="15.75" customHeight="1">
      <c r="A911" s="1"/>
    </row>
    <row r="912" ht="15.75" customHeight="1">
      <c r="A912" s="1"/>
    </row>
    <row r="913" ht="15.75" customHeight="1">
      <c r="A913" s="1"/>
    </row>
    <row r="914" ht="15.75" customHeight="1">
      <c r="A914" s="1"/>
    </row>
    <row r="915" ht="15.75" customHeight="1">
      <c r="A915" s="1"/>
    </row>
    <row r="916" ht="15.75" customHeight="1">
      <c r="A916" s="1"/>
    </row>
    <row r="917" ht="15.75" customHeight="1">
      <c r="A917" s="1"/>
    </row>
    <row r="918" ht="15.75" customHeight="1">
      <c r="A918" s="1"/>
    </row>
    <row r="919" ht="15.75" customHeight="1">
      <c r="A919" s="1"/>
    </row>
    <row r="920" ht="15.75" customHeight="1">
      <c r="A920" s="1"/>
    </row>
    <row r="921" ht="15.75" customHeight="1">
      <c r="A921" s="1"/>
    </row>
    <row r="922" ht="15.75" customHeight="1">
      <c r="A922" s="1"/>
    </row>
    <row r="923" ht="15.75" customHeight="1">
      <c r="A923" s="1"/>
    </row>
    <row r="924" ht="15.75" customHeight="1">
      <c r="A924" s="1"/>
    </row>
    <row r="925" ht="15.75" customHeight="1">
      <c r="A925" s="1"/>
    </row>
    <row r="926" ht="15.75" customHeight="1">
      <c r="A926" s="1"/>
    </row>
    <row r="927" ht="15.75" customHeight="1">
      <c r="A927" s="1"/>
    </row>
    <row r="928" ht="15.75" customHeight="1">
      <c r="A928" s="1"/>
    </row>
    <row r="929" ht="15.75" customHeight="1">
      <c r="A929" s="1"/>
    </row>
    <row r="930" ht="15.75" customHeight="1">
      <c r="A930" s="1"/>
    </row>
    <row r="931" ht="15.75" customHeight="1">
      <c r="A931" s="1"/>
    </row>
    <row r="932" ht="15.75" customHeight="1">
      <c r="A932" s="1"/>
    </row>
    <row r="933" ht="15.75" customHeight="1">
      <c r="A933" s="1"/>
    </row>
    <row r="934" ht="15.75" customHeight="1">
      <c r="A934" s="1"/>
    </row>
    <row r="935" ht="15.75" customHeight="1">
      <c r="A935" s="1"/>
    </row>
    <row r="936" ht="15.75" customHeight="1">
      <c r="A936" s="1"/>
    </row>
    <row r="937" ht="15.75" customHeight="1">
      <c r="A937" s="1"/>
    </row>
    <row r="938" ht="15.75" customHeight="1">
      <c r="A938" s="1"/>
    </row>
    <row r="939" ht="15.75" customHeight="1">
      <c r="A939" s="1"/>
    </row>
    <row r="940" ht="15.75" customHeight="1">
      <c r="A940" s="1"/>
    </row>
    <row r="941" ht="15.75" customHeight="1">
      <c r="A941" s="1"/>
    </row>
    <row r="942" ht="15.75" customHeight="1">
      <c r="A942" s="1"/>
    </row>
    <row r="943" ht="15.75" customHeight="1">
      <c r="A943" s="1"/>
    </row>
    <row r="944" ht="15.75" customHeight="1">
      <c r="A944" s="1"/>
    </row>
    <row r="945" ht="15.75" customHeight="1">
      <c r="A945" s="1"/>
    </row>
    <row r="946" ht="15.75" customHeight="1">
      <c r="A946" s="1"/>
    </row>
    <row r="947" ht="15.75" customHeight="1">
      <c r="A947" s="1"/>
    </row>
    <row r="948" ht="15.75" customHeight="1">
      <c r="A948" s="1"/>
    </row>
    <row r="949" ht="15.75" customHeight="1">
      <c r="A949" s="1"/>
    </row>
    <row r="950" ht="15.75" customHeight="1">
      <c r="A950" s="1"/>
    </row>
    <row r="951" ht="15.75" customHeight="1">
      <c r="A951" s="1"/>
    </row>
    <row r="952" ht="15.75" customHeight="1">
      <c r="A952" s="1"/>
    </row>
    <row r="953" ht="15.75" customHeight="1">
      <c r="A953" s="1"/>
    </row>
    <row r="954" ht="15.75" customHeight="1">
      <c r="A954" s="1"/>
    </row>
    <row r="955" ht="15.75" customHeight="1">
      <c r="A955" s="1"/>
    </row>
    <row r="956" ht="15.75" customHeight="1">
      <c r="A956" s="1"/>
    </row>
    <row r="957" ht="15.75" customHeight="1">
      <c r="A957" s="1"/>
    </row>
    <row r="958" ht="15.75" customHeight="1">
      <c r="A958" s="1"/>
    </row>
    <row r="959" ht="15.75" customHeight="1">
      <c r="A959" s="1"/>
    </row>
    <row r="960" ht="15.75" customHeight="1">
      <c r="A960" s="1"/>
    </row>
    <row r="961" ht="15.75" customHeight="1">
      <c r="A961" s="1"/>
    </row>
    <row r="962" ht="15.75" customHeight="1">
      <c r="A962" s="1"/>
    </row>
    <row r="963" ht="15.75" customHeight="1">
      <c r="A963" s="1"/>
    </row>
    <row r="964" ht="15.75" customHeight="1">
      <c r="A964" s="1"/>
    </row>
    <row r="965" ht="15.75" customHeight="1">
      <c r="A965" s="1"/>
    </row>
    <row r="966" ht="15.75" customHeight="1">
      <c r="A966" s="1"/>
    </row>
    <row r="967" ht="15.75" customHeight="1">
      <c r="A967" s="1"/>
    </row>
    <row r="968" ht="15.75" customHeight="1">
      <c r="A968" s="1"/>
    </row>
    <row r="969" ht="15.75" customHeight="1">
      <c r="A969" s="1"/>
    </row>
    <row r="970" ht="15.75" customHeight="1">
      <c r="A970" s="1"/>
    </row>
    <row r="971" ht="15.75" customHeight="1">
      <c r="A971" s="1"/>
    </row>
    <row r="972" ht="15.75" customHeight="1">
      <c r="A972" s="1"/>
    </row>
    <row r="973" ht="15.75" customHeight="1">
      <c r="A973" s="1"/>
    </row>
    <row r="974" ht="15.75" customHeight="1">
      <c r="A974" s="1"/>
    </row>
    <row r="975" ht="15.75" customHeight="1">
      <c r="A975" s="1"/>
    </row>
    <row r="976" ht="15.75" customHeight="1">
      <c r="A976" s="1"/>
    </row>
    <row r="977" ht="15.75" customHeight="1">
      <c r="A977" s="1"/>
    </row>
    <row r="978" ht="15.75" customHeight="1">
      <c r="A978" s="1"/>
    </row>
    <row r="979" ht="15.75" customHeight="1">
      <c r="A979" s="1"/>
    </row>
    <row r="980" ht="15.75" customHeight="1">
      <c r="A980" s="1"/>
    </row>
    <row r="981" ht="15.75" customHeight="1">
      <c r="A981" s="1"/>
    </row>
    <row r="982" ht="15.75" customHeight="1">
      <c r="A982" s="1"/>
    </row>
    <row r="983" ht="15.75" customHeight="1">
      <c r="A983" s="1"/>
    </row>
    <row r="984" ht="15.75" customHeight="1">
      <c r="A984" s="1"/>
    </row>
    <row r="985" ht="15.75" customHeight="1">
      <c r="A985" s="1"/>
    </row>
    <row r="986" ht="15.75" customHeight="1">
      <c r="A986" s="1"/>
    </row>
    <row r="987" ht="15.75" customHeight="1">
      <c r="A987" s="1"/>
    </row>
    <row r="988" ht="15.75" customHeight="1">
      <c r="A988" s="1"/>
    </row>
    <row r="989" ht="15.75" customHeight="1">
      <c r="A989" s="1"/>
    </row>
    <row r="990" ht="15.75" customHeight="1">
      <c r="A990" s="1"/>
    </row>
    <row r="991" ht="15.75" customHeight="1">
      <c r="A991" s="1"/>
    </row>
    <row r="992" ht="15.75" customHeight="1">
      <c r="A992" s="1"/>
    </row>
    <row r="993" ht="15.75" customHeight="1">
      <c r="A993" s="1"/>
    </row>
    <row r="994" ht="15.75" customHeight="1">
      <c r="A994" s="1"/>
    </row>
    <row r="995" ht="15.75" customHeight="1">
      <c r="A995" s="1"/>
    </row>
    <row r="996" ht="15.75" customHeight="1">
      <c r="A996" s="1"/>
    </row>
    <row r="997" ht="15.75" customHeight="1">
      <c r="A997" s="1"/>
    </row>
    <row r="998" ht="15.75" customHeight="1">
      <c r="A998" s="1"/>
    </row>
    <row r="999" ht="15.75" customHeight="1">
      <c r="A999" s="1"/>
    </row>
    <row r="1000" ht="15.75" customHeight="1">
      <c r="A1000"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workbookViewId="0"/>
  </sheetViews>
  <sheetFormatPr customHeight="1" defaultColWidth="14.43" defaultRowHeight="15.0"/>
  <cols>
    <col customWidth="1" min="1" max="1" width="29.86"/>
    <col customWidth="1" min="2" max="2" width="14.14"/>
    <col customWidth="1" min="3" max="3" width="18.43"/>
    <col customWidth="1" min="4" max="4" width="17.71"/>
    <col customWidth="1" min="5" max="5" width="17.0"/>
    <col customWidth="1" min="6" max="6" width="17.43"/>
    <col customWidth="1" min="7" max="7" width="20.43"/>
    <col customWidth="1" min="8" max="8" width="16.86"/>
    <col customWidth="1" min="9" max="9" width="23.43"/>
    <col customWidth="1" min="10" max="26" width="21.43"/>
  </cols>
  <sheetData>
    <row r="3" ht="15.0" customHeight="1">
      <c r="D3" s="9" t="s">
        <v>77</v>
      </c>
      <c r="E3" s="10"/>
      <c r="F3" s="10"/>
      <c r="G3" s="9"/>
      <c r="H3" s="10"/>
      <c r="I3" s="10"/>
    </row>
    <row r="4" ht="15.0" customHeight="1">
      <c r="D4" s="9" t="s">
        <v>78</v>
      </c>
      <c r="E4" s="10"/>
      <c r="F4" s="10"/>
      <c r="G4" s="10"/>
      <c r="H4" s="10"/>
      <c r="I4" s="10"/>
    </row>
    <row r="6" ht="18.75" customHeight="1">
      <c r="A6" s="11" t="s">
        <v>79</v>
      </c>
      <c r="B6" s="12"/>
      <c r="C6" s="12"/>
      <c r="D6" s="12"/>
      <c r="E6" s="12"/>
      <c r="F6" s="12"/>
      <c r="G6" s="12"/>
      <c r="H6" s="12"/>
      <c r="I6" s="12"/>
      <c r="J6" s="12"/>
      <c r="K6" s="12"/>
      <c r="L6" s="12"/>
      <c r="M6" s="12"/>
      <c r="N6" s="12"/>
      <c r="O6" s="12"/>
      <c r="P6" s="12"/>
      <c r="Q6" s="12"/>
      <c r="R6" s="12"/>
      <c r="S6" s="12"/>
      <c r="T6" s="12"/>
      <c r="U6" s="12"/>
      <c r="V6" s="12"/>
      <c r="W6" s="12"/>
      <c r="X6" s="12"/>
      <c r="Y6" s="12"/>
      <c r="Z6" s="12"/>
    </row>
    <row r="7" ht="18.75" customHeight="1">
      <c r="A7" s="12"/>
      <c r="B7" s="12"/>
      <c r="C7" s="12" t="s">
        <v>80</v>
      </c>
      <c r="D7" s="12"/>
      <c r="E7" s="12"/>
      <c r="F7" s="12"/>
      <c r="G7" s="12"/>
      <c r="H7" s="12"/>
      <c r="I7" s="12"/>
      <c r="J7" s="12"/>
      <c r="K7" s="12"/>
      <c r="L7" s="12"/>
      <c r="M7" s="12"/>
      <c r="N7" s="12"/>
      <c r="O7" s="12"/>
      <c r="P7" s="12"/>
      <c r="Q7" s="12"/>
      <c r="R7" s="12"/>
      <c r="S7" s="12"/>
      <c r="T7" s="12"/>
      <c r="U7" s="12"/>
      <c r="V7" s="12"/>
      <c r="W7" s="12"/>
      <c r="X7" s="12"/>
      <c r="Y7" s="12"/>
      <c r="Z7" s="12"/>
    </row>
    <row r="8" ht="18.75" customHeight="1">
      <c r="A8" s="11" t="s">
        <v>81</v>
      </c>
      <c r="B8" s="12"/>
      <c r="C8" s="12"/>
      <c r="D8" s="12"/>
      <c r="E8" s="12"/>
      <c r="F8" s="13"/>
      <c r="G8" s="14"/>
      <c r="H8" s="15">
        <v>45.0</v>
      </c>
      <c r="I8" s="13"/>
      <c r="J8" s="12"/>
      <c r="K8" s="12"/>
      <c r="L8" s="12"/>
      <c r="M8" s="12"/>
      <c r="N8" s="12"/>
      <c r="O8" s="12"/>
      <c r="P8" s="12"/>
      <c r="Q8" s="12"/>
      <c r="R8" s="12"/>
      <c r="S8" s="12"/>
      <c r="T8" s="12"/>
      <c r="U8" s="12"/>
      <c r="V8" s="12"/>
      <c r="W8" s="12"/>
      <c r="X8" s="12"/>
      <c r="Y8" s="12"/>
      <c r="Z8" s="12"/>
    </row>
    <row r="9" ht="18.75" customHeight="1">
      <c r="A9" s="11"/>
      <c r="B9" s="11"/>
      <c r="C9" s="11"/>
      <c r="D9" s="11"/>
      <c r="E9" s="11"/>
      <c r="F9" s="16"/>
      <c r="G9" s="11"/>
      <c r="H9" s="11"/>
      <c r="I9" s="11"/>
      <c r="J9" s="11"/>
      <c r="K9" s="11"/>
      <c r="L9" s="11"/>
      <c r="M9" s="11"/>
      <c r="N9" s="11"/>
      <c r="O9" s="11"/>
      <c r="P9" s="11"/>
      <c r="Q9" s="11"/>
      <c r="R9" s="11"/>
      <c r="S9" s="11"/>
      <c r="T9" s="11"/>
      <c r="U9" s="11"/>
      <c r="V9" s="11"/>
      <c r="W9" s="11"/>
      <c r="X9" s="11"/>
      <c r="Y9" s="11"/>
      <c r="Z9" s="11"/>
    </row>
    <row r="10" ht="18.75" customHeight="1">
      <c r="A10" s="17" t="s">
        <v>13</v>
      </c>
      <c r="B10" s="18"/>
      <c r="C10" s="18"/>
      <c r="D10" s="18"/>
      <c r="E10" s="18"/>
      <c r="F10" s="19"/>
      <c r="G10" s="18"/>
      <c r="H10" s="18"/>
      <c r="I10" s="18"/>
      <c r="J10" s="11"/>
      <c r="K10" s="11"/>
      <c r="L10" s="11"/>
      <c r="M10" s="11"/>
      <c r="N10" s="11"/>
      <c r="O10" s="11"/>
      <c r="P10" s="11"/>
      <c r="Q10" s="11"/>
      <c r="R10" s="11"/>
      <c r="S10" s="11"/>
      <c r="T10" s="11"/>
      <c r="U10" s="11"/>
      <c r="V10" s="11"/>
      <c r="W10" s="11"/>
      <c r="X10" s="11"/>
      <c r="Y10" s="11"/>
      <c r="Z10" s="11"/>
    </row>
    <row r="11" ht="18.75" customHeight="1">
      <c r="A11" s="12"/>
      <c r="B11" s="12"/>
      <c r="C11" s="12"/>
      <c r="D11" s="12"/>
      <c r="E11" s="12"/>
      <c r="F11" s="12"/>
      <c r="G11" s="12"/>
      <c r="H11" s="12"/>
      <c r="I11" s="20" t="s">
        <v>82</v>
      </c>
      <c r="J11" s="12"/>
      <c r="K11" s="12"/>
      <c r="L11" s="12"/>
      <c r="M11" s="12"/>
      <c r="N11" s="12"/>
      <c r="O11" s="12"/>
      <c r="P11" s="12"/>
      <c r="Q11" s="12"/>
      <c r="R11" s="12"/>
      <c r="S11" s="12"/>
      <c r="T11" s="12"/>
      <c r="U11" s="12"/>
      <c r="V11" s="12"/>
      <c r="W11" s="12"/>
      <c r="X11" s="12"/>
      <c r="Y11" s="12"/>
      <c r="Z11" s="12"/>
    </row>
    <row r="12" ht="18.75" customHeight="1">
      <c r="B12" s="11"/>
      <c r="C12" s="11"/>
      <c r="D12" s="12"/>
      <c r="E12" s="12"/>
      <c r="F12" s="12"/>
      <c r="G12" s="12"/>
      <c r="H12" s="12"/>
      <c r="I12" s="21">
        <f>F14+F15+F16+F17+F18</f>
        <v>4400</v>
      </c>
      <c r="J12" s="12"/>
      <c r="K12" s="12"/>
      <c r="L12" s="12"/>
      <c r="M12" s="12"/>
      <c r="N12" s="12"/>
      <c r="O12" s="12"/>
      <c r="P12" s="12"/>
      <c r="Q12" s="12"/>
      <c r="R12" s="12"/>
      <c r="S12" s="12"/>
      <c r="T12" s="12"/>
      <c r="U12" s="12"/>
      <c r="V12" s="12"/>
      <c r="W12" s="12"/>
      <c r="X12" s="12"/>
      <c r="Y12" s="12"/>
      <c r="Z12" s="12"/>
    </row>
    <row r="13" ht="18.75" customHeight="1">
      <c r="A13" s="22" t="s">
        <v>83</v>
      </c>
      <c r="B13" s="20" t="s">
        <v>84</v>
      </c>
      <c r="C13" s="20" t="s">
        <v>85</v>
      </c>
      <c r="D13" s="20" t="s">
        <v>86</v>
      </c>
      <c r="E13" s="20" t="s">
        <v>87</v>
      </c>
      <c r="F13" s="20" t="s">
        <v>88</v>
      </c>
      <c r="G13" s="20" t="s">
        <v>89</v>
      </c>
      <c r="H13" s="20" t="s">
        <v>90</v>
      </c>
      <c r="I13" s="20" t="s">
        <v>91</v>
      </c>
      <c r="J13" s="12"/>
      <c r="K13" s="12"/>
      <c r="L13" s="12"/>
      <c r="M13" s="12"/>
      <c r="N13" s="12"/>
      <c r="O13" s="12"/>
      <c r="P13" s="12"/>
      <c r="Q13" s="12"/>
      <c r="R13" s="12"/>
      <c r="S13" s="12"/>
      <c r="T13" s="12"/>
      <c r="U13" s="12"/>
      <c r="V13" s="12"/>
      <c r="W13" s="12"/>
      <c r="X13" s="12"/>
      <c r="Y13" s="12"/>
      <c r="Z13" s="12"/>
    </row>
    <row r="14" ht="18.75" customHeight="1">
      <c r="A14" s="23" t="s">
        <v>92</v>
      </c>
      <c r="B14" s="23">
        <v>40.0</v>
      </c>
      <c r="C14" s="23">
        <v>65.0</v>
      </c>
      <c r="D14" s="22" t="s">
        <v>93</v>
      </c>
      <c r="E14" s="24">
        <v>2.75</v>
      </c>
      <c r="F14" s="25">
        <f t="shared" ref="F14:F18" si="1">(C14*B14)</f>
        <v>2600</v>
      </c>
      <c r="G14" s="26">
        <f t="shared" ref="G14:G18" si="2">E14*F14</f>
        <v>7150</v>
      </c>
      <c r="H14" s="27">
        <f t="shared" ref="H14:H20" si="3">G14/$H$8</f>
        <v>158.8888889</v>
      </c>
      <c r="I14" s="28">
        <f t="shared" ref="I14:I17" si="4">G14/$I$12</f>
        <v>1.625</v>
      </c>
      <c r="J14" s="12"/>
      <c r="K14" s="12"/>
      <c r="L14" s="12"/>
      <c r="M14" s="12"/>
      <c r="N14" s="12"/>
      <c r="O14" s="12"/>
      <c r="P14" s="12"/>
      <c r="Q14" s="12"/>
      <c r="R14" s="12"/>
      <c r="S14" s="12"/>
      <c r="T14" s="12"/>
      <c r="U14" s="12"/>
      <c r="V14" s="12"/>
      <c r="W14" s="12"/>
      <c r="X14" s="12"/>
      <c r="Y14" s="12"/>
      <c r="Z14" s="12"/>
    </row>
    <row r="15" ht="18.75" customHeight="1">
      <c r="A15" s="23" t="s">
        <v>94</v>
      </c>
      <c r="B15" s="23">
        <v>30.0</v>
      </c>
      <c r="C15" s="23">
        <v>60.0</v>
      </c>
      <c r="D15" s="22" t="s">
        <v>93</v>
      </c>
      <c r="E15" s="24">
        <v>2.9</v>
      </c>
      <c r="F15" s="25">
        <f t="shared" si="1"/>
        <v>1800</v>
      </c>
      <c r="G15" s="26">
        <f t="shared" si="2"/>
        <v>5220</v>
      </c>
      <c r="H15" s="27">
        <f t="shared" si="3"/>
        <v>116</v>
      </c>
      <c r="I15" s="28">
        <f t="shared" si="4"/>
        <v>1.186363636</v>
      </c>
      <c r="J15" s="12"/>
      <c r="K15" s="12"/>
      <c r="L15" s="12"/>
      <c r="M15" s="12"/>
      <c r="N15" s="12"/>
      <c r="O15" s="12"/>
      <c r="P15" s="12"/>
      <c r="Q15" s="12"/>
      <c r="R15" s="12"/>
      <c r="S15" s="12"/>
      <c r="T15" s="12"/>
      <c r="U15" s="12"/>
      <c r="V15" s="12"/>
      <c r="W15" s="12"/>
      <c r="X15" s="12"/>
      <c r="Y15" s="12"/>
      <c r="Z15" s="12"/>
    </row>
    <row r="16" ht="18.75" customHeight="1">
      <c r="A16" s="23"/>
      <c r="B16" s="23"/>
      <c r="C16" s="23"/>
      <c r="D16" s="22"/>
      <c r="E16" s="24"/>
      <c r="F16" s="25">
        <f t="shared" si="1"/>
        <v>0</v>
      </c>
      <c r="G16" s="26">
        <f t="shared" si="2"/>
        <v>0</v>
      </c>
      <c r="H16" s="27">
        <f t="shared" si="3"/>
        <v>0</v>
      </c>
      <c r="I16" s="28">
        <f t="shared" si="4"/>
        <v>0</v>
      </c>
      <c r="J16" s="12"/>
      <c r="K16" s="12"/>
      <c r="L16" s="12"/>
      <c r="M16" s="12"/>
      <c r="N16" s="12"/>
      <c r="O16" s="12"/>
      <c r="P16" s="12"/>
      <c r="Q16" s="12"/>
      <c r="R16" s="12"/>
      <c r="S16" s="12"/>
      <c r="T16" s="12"/>
      <c r="U16" s="12"/>
      <c r="V16" s="12"/>
      <c r="W16" s="12"/>
      <c r="X16" s="12"/>
      <c r="Y16" s="12"/>
      <c r="Z16" s="12"/>
    </row>
    <row r="17" ht="18.75" customHeight="1">
      <c r="A17" s="23"/>
      <c r="B17" s="23"/>
      <c r="C17" s="23"/>
      <c r="D17" s="22"/>
      <c r="E17" s="24"/>
      <c r="F17" s="25">
        <f t="shared" si="1"/>
        <v>0</v>
      </c>
      <c r="G17" s="26">
        <f t="shared" si="2"/>
        <v>0</v>
      </c>
      <c r="H17" s="27">
        <f t="shared" si="3"/>
        <v>0</v>
      </c>
      <c r="I17" s="28">
        <f t="shared" si="4"/>
        <v>0</v>
      </c>
      <c r="J17" s="12"/>
      <c r="K17" s="12"/>
      <c r="L17" s="12"/>
      <c r="M17" s="12"/>
      <c r="N17" s="12"/>
      <c r="O17" s="12"/>
      <c r="P17" s="12"/>
      <c r="Q17" s="12"/>
      <c r="R17" s="12"/>
      <c r="S17" s="12"/>
      <c r="T17" s="12"/>
      <c r="U17" s="12"/>
      <c r="V17" s="12"/>
      <c r="W17" s="12"/>
      <c r="X17" s="12"/>
      <c r="Y17" s="12"/>
      <c r="Z17" s="12"/>
    </row>
    <row r="18" ht="18.75" customHeight="1">
      <c r="A18" s="23"/>
      <c r="B18" s="23"/>
      <c r="C18" s="23"/>
      <c r="D18" s="22"/>
      <c r="E18" s="24"/>
      <c r="F18" s="25">
        <f t="shared" si="1"/>
        <v>0</v>
      </c>
      <c r="G18" s="26">
        <f t="shared" si="2"/>
        <v>0</v>
      </c>
      <c r="H18" s="27">
        <f t="shared" si="3"/>
        <v>0</v>
      </c>
      <c r="I18" s="28">
        <f>G18/I12</f>
        <v>0</v>
      </c>
      <c r="J18" s="12"/>
      <c r="K18" s="12"/>
      <c r="L18" s="12"/>
      <c r="M18" s="12"/>
      <c r="N18" s="12"/>
      <c r="O18" s="12"/>
      <c r="P18" s="12"/>
      <c r="Q18" s="12"/>
      <c r="R18" s="12"/>
      <c r="S18" s="12"/>
      <c r="T18" s="12"/>
      <c r="U18" s="12"/>
      <c r="V18" s="12"/>
      <c r="W18" s="12"/>
      <c r="X18" s="12"/>
      <c r="Y18" s="12"/>
      <c r="Z18" s="12"/>
    </row>
    <row r="19" ht="18.75" customHeight="1">
      <c r="A19" s="22" t="s">
        <v>95</v>
      </c>
      <c r="B19" s="23">
        <v>5.0</v>
      </c>
      <c r="C19" s="29"/>
      <c r="D19" s="30"/>
      <c r="E19" s="31"/>
      <c r="F19" s="32"/>
      <c r="G19" s="24">
        <v>720.0</v>
      </c>
      <c r="H19" s="27">
        <f t="shared" si="3"/>
        <v>16</v>
      </c>
      <c r="I19" s="28">
        <f>G19/I12</f>
        <v>0.1636363636</v>
      </c>
      <c r="J19" s="12"/>
      <c r="K19" s="12"/>
      <c r="L19" s="12"/>
      <c r="M19" s="12"/>
      <c r="N19" s="12"/>
      <c r="O19" s="12"/>
      <c r="P19" s="12"/>
      <c r="Q19" s="12"/>
      <c r="R19" s="12"/>
      <c r="S19" s="12"/>
      <c r="T19" s="12"/>
      <c r="U19" s="12"/>
      <c r="V19" s="12"/>
      <c r="W19" s="12"/>
      <c r="X19" s="12"/>
      <c r="Y19" s="12"/>
      <c r="Z19" s="12"/>
    </row>
    <row r="20" ht="18.75" customHeight="1">
      <c r="A20" s="22" t="s">
        <v>96</v>
      </c>
      <c r="B20" s="23">
        <v>1.0</v>
      </c>
      <c r="C20" s="29"/>
      <c r="D20" s="30"/>
      <c r="E20" s="31"/>
      <c r="F20" s="32"/>
      <c r="G20" s="24">
        <v>198.0</v>
      </c>
      <c r="H20" s="27">
        <f t="shared" si="3"/>
        <v>4.4</v>
      </c>
      <c r="I20" s="28">
        <f>G20/I12</f>
        <v>0.045</v>
      </c>
      <c r="J20" s="12"/>
      <c r="K20" s="12"/>
      <c r="L20" s="12"/>
      <c r="M20" s="12"/>
      <c r="N20" s="12"/>
      <c r="O20" s="12"/>
      <c r="P20" s="12"/>
      <c r="Q20" s="12"/>
      <c r="R20" s="12"/>
      <c r="S20" s="12"/>
      <c r="T20" s="12"/>
      <c r="U20" s="12"/>
      <c r="V20" s="12"/>
      <c r="W20" s="12"/>
      <c r="X20" s="12"/>
      <c r="Y20" s="12"/>
      <c r="Z20" s="12"/>
    </row>
    <row r="21" ht="18.75" customHeight="1">
      <c r="A21" s="33"/>
      <c r="B21" s="33" t="s">
        <v>97</v>
      </c>
      <c r="C21" s="34" t="s">
        <v>98</v>
      </c>
      <c r="D21" s="35"/>
      <c r="E21" s="36" t="s">
        <v>87</v>
      </c>
      <c r="F21" s="37" t="s">
        <v>99</v>
      </c>
      <c r="G21" s="38"/>
      <c r="H21" s="39"/>
      <c r="I21" s="39"/>
      <c r="J21" s="12"/>
      <c r="K21" s="12"/>
      <c r="L21" s="12"/>
      <c r="M21" s="12"/>
      <c r="N21" s="12"/>
      <c r="O21" s="12"/>
      <c r="P21" s="12"/>
      <c r="Q21" s="12"/>
      <c r="R21" s="12"/>
      <c r="S21" s="12"/>
      <c r="T21" s="12"/>
      <c r="U21" s="12"/>
      <c r="V21" s="12"/>
      <c r="W21" s="12"/>
      <c r="X21" s="12"/>
      <c r="Y21" s="12"/>
      <c r="Z21" s="12"/>
    </row>
    <row r="22" ht="18.75" customHeight="1">
      <c r="A22" s="40" t="s">
        <v>100</v>
      </c>
      <c r="B22" s="41">
        <v>20.0</v>
      </c>
      <c r="C22" s="23">
        <v>6.0</v>
      </c>
      <c r="D22" s="35" t="s">
        <v>93</v>
      </c>
      <c r="E22" s="24">
        <v>15.0</v>
      </c>
      <c r="F22" s="42">
        <f t="shared" ref="F22:F23" si="5">B22*C22</f>
        <v>120</v>
      </c>
      <c r="G22" s="43">
        <f t="shared" ref="G22:G23" si="6">E22*F22</f>
        <v>1800</v>
      </c>
      <c r="H22" s="27">
        <f>G22/H8</f>
        <v>40</v>
      </c>
      <c r="I22" s="28">
        <f>G22/I12</f>
        <v>0.4090909091</v>
      </c>
      <c r="J22" s="12"/>
      <c r="K22" s="12"/>
      <c r="L22" s="12"/>
      <c r="M22" s="12"/>
      <c r="N22" s="12"/>
      <c r="O22" s="12"/>
      <c r="P22" s="12"/>
      <c r="Q22" s="12"/>
      <c r="R22" s="12"/>
      <c r="S22" s="12"/>
      <c r="T22" s="12"/>
      <c r="U22" s="12"/>
      <c r="V22" s="12"/>
      <c r="W22" s="12"/>
      <c r="X22" s="12"/>
      <c r="Y22" s="12"/>
      <c r="Z22" s="12"/>
    </row>
    <row r="23" ht="18.75" customHeight="1">
      <c r="A23" s="40" t="s">
        <v>101</v>
      </c>
      <c r="B23" s="41">
        <v>20.0</v>
      </c>
      <c r="C23" s="23">
        <v>6.0</v>
      </c>
      <c r="D23" s="35" t="s">
        <v>93</v>
      </c>
      <c r="E23" s="24">
        <v>0.05</v>
      </c>
      <c r="F23" s="42">
        <f t="shared" si="5"/>
        <v>120</v>
      </c>
      <c r="G23" s="43">
        <f t="shared" si="6"/>
        <v>6</v>
      </c>
      <c r="H23" s="27">
        <f>G23/H8</f>
        <v>0.1333333333</v>
      </c>
      <c r="I23" s="28">
        <f>G23/I12</f>
        <v>0.001363636364</v>
      </c>
      <c r="J23" s="12"/>
      <c r="K23" s="12"/>
      <c r="L23" s="12"/>
      <c r="M23" s="12"/>
      <c r="N23" s="12"/>
      <c r="O23" s="12"/>
      <c r="P23" s="12"/>
      <c r="Q23" s="12"/>
      <c r="R23" s="12"/>
      <c r="S23" s="12"/>
      <c r="T23" s="12"/>
      <c r="U23" s="12"/>
      <c r="V23" s="12"/>
      <c r="W23" s="12"/>
      <c r="X23" s="12"/>
      <c r="Y23" s="12"/>
      <c r="Z23" s="12"/>
    </row>
    <row r="24" ht="18.75" customHeight="1">
      <c r="A24" s="33" t="s">
        <v>102</v>
      </c>
      <c r="B24" s="40">
        <v>0.0</v>
      </c>
      <c r="C24" s="44"/>
      <c r="D24" s="35"/>
      <c r="E24" s="12"/>
      <c r="F24" s="37"/>
      <c r="G24" s="45">
        <v>0.0</v>
      </c>
      <c r="H24" s="27">
        <f>G24/$H$8</f>
        <v>0</v>
      </c>
      <c r="I24" s="28">
        <f>G24/I12</f>
        <v>0</v>
      </c>
      <c r="J24" s="12"/>
      <c r="K24" s="12"/>
      <c r="L24" s="12"/>
      <c r="M24" s="12"/>
      <c r="N24" s="12"/>
      <c r="O24" s="12"/>
      <c r="P24" s="12"/>
      <c r="Q24" s="12"/>
      <c r="R24" s="12"/>
      <c r="S24" s="12"/>
      <c r="T24" s="12"/>
      <c r="U24" s="12"/>
      <c r="V24" s="12"/>
      <c r="W24" s="12"/>
      <c r="X24" s="12"/>
      <c r="Y24" s="12"/>
      <c r="Z24" s="12"/>
    </row>
    <row r="25" ht="18.75" customHeight="1">
      <c r="A25" s="46" t="s">
        <v>103</v>
      </c>
      <c r="B25" s="46"/>
      <c r="C25" s="46"/>
      <c r="D25" s="46"/>
      <c r="E25" s="46"/>
      <c r="F25" s="47"/>
      <c r="G25" s="48">
        <f t="shared" ref="G25:I25" si="7">SUM(G14:G24)</f>
        <v>15094</v>
      </c>
      <c r="H25" s="49">
        <f t="shared" si="7"/>
        <v>335.4222222</v>
      </c>
      <c r="I25" s="50">
        <f t="shared" si="7"/>
        <v>3.430454545</v>
      </c>
      <c r="J25" s="11"/>
      <c r="K25" s="11"/>
      <c r="L25" s="11"/>
      <c r="M25" s="11"/>
      <c r="N25" s="11"/>
      <c r="O25" s="11"/>
      <c r="P25" s="11"/>
      <c r="Q25" s="11"/>
      <c r="R25" s="11"/>
      <c r="S25" s="11"/>
      <c r="T25" s="11"/>
      <c r="U25" s="11"/>
      <c r="V25" s="11"/>
      <c r="W25" s="11"/>
      <c r="X25" s="11"/>
      <c r="Y25" s="11"/>
      <c r="Z25" s="11"/>
    </row>
    <row r="26" ht="18.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ht="18.75" customHeight="1">
      <c r="A27" s="17" t="s">
        <v>17</v>
      </c>
      <c r="B27" s="51"/>
      <c r="C27" s="51"/>
      <c r="D27" s="51"/>
      <c r="E27" s="51"/>
      <c r="F27" s="51"/>
      <c r="G27" s="51"/>
      <c r="H27" s="51"/>
      <c r="I27" s="51"/>
      <c r="J27" s="12"/>
      <c r="K27" s="12"/>
      <c r="L27" s="12"/>
      <c r="M27" s="12"/>
      <c r="N27" s="12"/>
      <c r="O27" s="12"/>
      <c r="P27" s="12"/>
      <c r="Q27" s="12"/>
      <c r="R27" s="12"/>
      <c r="S27" s="12"/>
      <c r="T27" s="12"/>
      <c r="U27" s="12"/>
      <c r="V27" s="12"/>
      <c r="W27" s="12"/>
      <c r="X27" s="12"/>
      <c r="Y27" s="12"/>
      <c r="Z27" s="12"/>
    </row>
    <row r="28" ht="18.75" customHeight="1">
      <c r="A28" s="11"/>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ht="18.75" customHeight="1">
      <c r="A29" s="11"/>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ht="20.25" customHeight="1">
      <c r="A30" s="52" t="s">
        <v>19</v>
      </c>
      <c r="B30" s="53"/>
      <c r="C30" s="54"/>
      <c r="D30" s="54"/>
      <c r="E30" s="54"/>
      <c r="F30" s="54"/>
      <c r="G30" s="54"/>
      <c r="H30" s="53"/>
      <c r="I30" s="53"/>
      <c r="J30" s="55"/>
      <c r="K30" s="55"/>
      <c r="L30" s="55"/>
      <c r="M30" s="55"/>
      <c r="N30" s="55"/>
      <c r="O30" s="55"/>
      <c r="P30" s="55"/>
      <c r="Q30" s="55"/>
      <c r="R30" s="55"/>
      <c r="S30" s="55"/>
      <c r="T30" s="55"/>
      <c r="U30" s="55"/>
      <c r="V30" s="55"/>
      <c r="W30" s="55"/>
      <c r="X30" s="55"/>
      <c r="Y30" s="55"/>
      <c r="Z30" s="55"/>
    </row>
    <row r="31" ht="37.5" customHeight="1">
      <c r="A31" s="56" t="s">
        <v>104</v>
      </c>
      <c r="B31" s="56"/>
      <c r="C31" s="57" t="s">
        <v>105</v>
      </c>
      <c r="D31" s="57" t="s">
        <v>106</v>
      </c>
      <c r="E31" s="57" t="s">
        <v>107</v>
      </c>
      <c r="F31" s="57"/>
      <c r="G31" s="57" t="s">
        <v>108</v>
      </c>
      <c r="H31" s="57" t="s">
        <v>90</v>
      </c>
      <c r="I31" s="57" t="s">
        <v>91</v>
      </c>
      <c r="J31" s="55"/>
      <c r="K31" s="55"/>
      <c r="L31" s="55"/>
      <c r="M31" s="55"/>
      <c r="N31" s="55"/>
      <c r="O31" s="55"/>
      <c r="P31" s="55"/>
      <c r="Q31" s="55"/>
      <c r="R31" s="55"/>
      <c r="S31" s="55"/>
      <c r="T31" s="55"/>
      <c r="U31" s="55"/>
      <c r="V31" s="55"/>
      <c r="W31" s="55"/>
      <c r="X31" s="55"/>
      <c r="Y31" s="55"/>
      <c r="Z31" s="55"/>
    </row>
    <row r="32" ht="18.75" customHeight="1">
      <c r="A32" s="23" t="s">
        <v>109</v>
      </c>
      <c r="B32" s="22"/>
      <c r="C32" s="23">
        <v>14.0</v>
      </c>
      <c r="D32" s="23" t="s">
        <v>110</v>
      </c>
      <c r="E32" s="24">
        <v>180.0</v>
      </c>
      <c r="F32" s="22"/>
      <c r="G32" s="26">
        <f t="shared" ref="G32:G41" si="8">C32*E32</f>
        <v>2520</v>
      </c>
      <c r="H32" s="27">
        <f t="shared" ref="H32:H41" si="9">G32/$H$8</f>
        <v>56</v>
      </c>
      <c r="I32" s="28">
        <f>G32/I12</f>
        <v>0.5727272727</v>
      </c>
      <c r="J32" s="12"/>
      <c r="K32" s="12"/>
      <c r="L32" s="12"/>
      <c r="M32" s="12"/>
      <c r="N32" s="12"/>
      <c r="O32" s="12"/>
      <c r="P32" s="12"/>
      <c r="Q32" s="12"/>
      <c r="R32" s="12"/>
      <c r="S32" s="12"/>
      <c r="T32" s="12"/>
      <c r="U32" s="12"/>
      <c r="V32" s="12"/>
      <c r="W32" s="12"/>
      <c r="X32" s="12"/>
      <c r="Y32" s="12"/>
      <c r="Z32" s="12"/>
    </row>
    <row r="33" ht="18.75" customHeight="1">
      <c r="A33" s="23" t="s">
        <v>111</v>
      </c>
      <c r="B33" s="22"/>
      <c r="C33" s="23">
        <v>11.0</v>
      </c>
      <c r="D33" s="23" t="s">
        <v>110</v>
      </c>
      <c r="E33" s="24">
        <v>145.0</v>
      </c>
      <c r="F33" s="22"/>
      <c r="G33" s="26">
        <f t="shared" si="8"/>
        <v>1595</v>
      </c>
      <c r="H33" s="27">
        <f t="shared" si="9"/>
        <v>35.44444444</v>
      </c>
      <c r="I33" s="28">
        <f>G33/I12</f>
        <v>0.3625</v>
      </c>
      <c r="J33" s="12"/>
      <c r="K33" s="12"/>
      <c r="L33" s="12"/>
      <c r="M33" s="12"/>
      <c r="N33" s="12"/>
      <c r="O33" s="12"/>
      <c r="P33" s="12"/>
      <c r="Q33" s="12"/>
      <c r="R33" s="12"/>
      <c r="S33" s="12"/>
      <c r="T33" s="12"/>
      <c r="U33" s="12"/>
      <c r="V33" s="12"/>
      <c r="W33" s="12"/>
      <c r="X33" s="12"/>
      <c r="Y33" s="12"/>
      <c r="Z33" s="12"/>
    </row>
    <row r="34" ht="18.75" customHeight="1">
      <c r="A34" s="23" t="s">
        <v>112</v>
      </c>
      <c r="B34" s="22"/>
      <c r="C34" s="23">
        <v>6.0</v>
      </c>
      <c r="D34" s="23" t="s">
        <v>110</v>
      </c>
      <c r="E34" s="24">
        <v>115.0</v>
      </c>
      <c r="F34" s="22"/>
      <c r="G34" s="26">
        <f t="shared" si="8"/>
        <v>690</v>
      </c>
      <c r="H34" s="27">
        <f t="shared" si="9"/>
        <v>15.33333333</v>
      </c>
      <c r="I34" s="28">
        <f>G34/I12</f>
        <v>0.1568181818</v>
      </c>
      <c r="J34" s="12"/>
      <c r="K34" s="12"/>
      <c r="L34" s="12"/>
      <c r="M34" s="12"/>
      <c r="N34" s="12"/>
      <c r="O34" s="12"/>
      <c r="P34" s="12"/>
      <c r="Q34" s="12"/>
      <c r="R34" s="12"/>
      <c r="S34" s="12"/>
      <c r="T34" s="12"/>
      <c r="U34" s="12"/>
      <c r="V34" s="12"/>
      <c r="W34" s="12"/>
      <c r="X34" s="12"/>
      <c r="Y34" s="12"/>
      <c r="Z34" s="12"/>
    </row>
    <row r="35" ht="18.75" customHeight="1">
      <c r="A35" s="23" t="s">
        <v>113</v>
      </c>
      <c r="B35" s="22"/>
      <c r="C35" s="23">
        <v>225.0</v>
      </c>
      <c r="D35" s="23" t="s">
        <v>114</v>
      </c>
      <c r="E35" s="24">
        <v>5.0</v>
      </c>
      <c r="F35" s="22"/>
      <c r="G35" s="26">
        <f t="shared" si="8"/>
        <v>1125</v>
      </c>
      <c r="H35" s="27">
        <f t="shared" si="9"/>
        <v>25</v>
      </c>
      <c r="I35" s="28">
        <f>G35/I12</f>
        <v>0.2556818182</v>
      </c>
      <c r="J35" s="12"/>
      <c r="K35" s="12"/>
      <c r="L35" s="12"/>
      <c r="M35" s="12"/>
      <c r="N35" s="12"/>
      <c r="O35" s="12"/>
      <c r="P35" s="12"/>
      <c r="Q35" s="12"/>
      <c r="R35" s="12"/>
      <c r="S35" s="12"/>
      <c r="T35" s="12"/>
      <c r="U35" s="12"/>
      <c r="V35" s="12"/>
      <c r="W35" s="12"/>
      <c r="X35" s="12"/>
      <c r="Y35" s="12"/>
      <c r="Z35" s="12"/>
    </row>
    <row r="36" ht="18.75" customHeight="1">
      <c r="A36" s="23" t="s">
        <v>115</v>
      </c>
      <c r="B36" s="22"/>
      <c r="C36" s="23">
        <v>0.0</v>
      </c>
      <c r="D36" s="23" t="s">
        <v>114</v>
      </c>
      <c r="E36" s="24">
        <v>4.75</v>
      </c>
      <c r="F36" s="22"/>
      <c r="G36" s="26">
        <f t="shared" si="8"/>
        <v>0</v>
      </c>
      <c r="H36" s="27">
        <f t="shared" si="9"/>
        <v>0</v>
      </c>
      <c r="I36" s="28">
        <f>G36/I12</f>
        <v>0</v>
      </c>
      <c r="J36" s="12"/>
      <c r="K36" s="12"/>
      <c r="L36" s="12"/>
      <c r="M36" s="12"/>
      <c r="N36" s="12"/>
      <c r="O36" s="12"/>
      <c r="P36" s="12"/>
      <c r="Q36" s="12"/>
      <c r="R36" s="12"/>
      <c r="S36" s="12"/>
      <c r="T36" s="12"/>
      <c r="U36" s="12"/>
      <c r="V36" s="12"/>
      <c r="W36" s="12"/>
      <c r="X36" s="12"/>
      <c r="Y36" s="12"/>
      <c r="Z36" s="12"/>
    </row>
    <row r="37" ht="18.75" customHeight="1">
      <c r="A37" s="23"/>
      <c r="B37" s="22"/>
      <c r="C37" s="23"/>
      <c r="D37" s="23"/>
      <c r="E37" s="24"/>
      <c r="F37" s="22"/>
      <c r="G37" s="26">
        <f t="shared" si="8"/>
        <v>0</v>
      </c>
      <c r="H37" s="27">
        <f t="shared" si="9"/>
        <v>0</v>
      </c>
      <c r="I37" s="28">
        <f>G37/I12</f>
        <v>0</v>
      </c>
      <c r="J37" s="12"/>
      <c r="K37" s="12"/>
      <c r="L37" s="12"/>
      <c r="M37" s="12"/>
      <c r="N37" s="12"/>
      <c r="O37" s="12"/>
      <c r="P37" s="12"/>
      <c r="Q37" s="12"/>
      <c r="R37" s="12"/>
      <c r="S37" s="12"/>
      <c r="T37" s="12"/>
      <c r="U37" s="12"/>
      <c r="V37" s="12"/>
      <c r="W37" s="12"/>
      <c r="X37" s="12"/>
      <c r="Y37" s="12"/>
      <c r="Z37" s="12"/>
    </row>
    <row r="38" ht="18.75" customHeight="1">
      <c r="A38" s="23"/>
      <c r="B38" s="22"/>
      <c r="C38" s="23"/>
      <c r="D38" s="23"/>
      <c r="E38" s="24"/>
      <c r="F38" s="22"/>
      <c r="G38" s="26">
        <f t="shared" si="8"/>
        <v>0</v>
      </c>
      <c r="H38" s="27">
        <f t="shared" si="9"/>
        <v>0</v>
      </c>
      <c r="I38" s="28">
        <f>G38/I12</f>
        <v>0</v>
      </c>
      <c r="J38" s="12"/>
      <c r="K38" s="12"/>
      <c r="L38" s="12"/>
      <c r="M38" s="12"/>
      <c r="N38" s="12"/>
      <c r="O38" s="12"/>
      <c r="P38" s="12"/>
      <c r="Q38" s="12"/>
      <c r="R38" s="12"/>
      <c r="S38" s="12"/>
      <c r="T38" s="12"/>
      <c r="U38" s="12"/>
      <c r="V38" s="12"/>
      <c r="W38" s="12"/>
      <c r="X38" s="12"/>
      <c r="Y38" s="12"/>
      <c r="Z38" s="12"/>
    </row>
    <row r="39" ht="18.75" customHeight="1">
      <c r="A39" s="23"/>
      <c r="B39" s="22"/>
      <c r="C39" s="23"/>
      <c r="D39" s="23"/>
      <c r="E39" s="24"/>
      <c r="F39" s="22"/>
      <c r="G39" s="26">
        <f t="shared" si="8"/>
        <v>0</v>
      </c>
      <c r="H39" s="27">
        <f t="shared" si="9"/>
        <v>0</v>
      </c>
      <c r="I39" s="28">
        <f>G39/I12</f>
        <v>0</v>
      </c>
      <c r="J39" s="12"/>
      <c r="K39" s="12"/>
      <c r="L39" s="12"/>
      <c r="M39" s="12"/>
      <c r="N39" s="12"/>
      <c r="O39" s="12"/>
      <c r="P39" s="12"/>
      <c r="Q39" s="12"/>
      <c r="R39" s="12"/>
      <c r="S39" s="12"/>
      <c r="T39" s="12"/>
      <c r="U39" s="12"/>
      <c r="V39" s="12"/>
      <c r="W39" s="12"/>
      <c r="X39" s="12"/>
      <c r="Y39" s="12"/>
      <c r="Z39" s="12"/>
    </row>
    <row r="40" ht="18.75" customHeight="1">
      <c r="A40" s="23"/>
      <c r="B40" s="22"/>
      <c r="C40" s="23"/>
      <c r="D40" s="23"/>
      <c r="E40" s="24"/>
      <c r="F40" s="22"/>
      <c r="G40" s="26">
        <f t="shared" si="8"/>
        <v>0</v>
      </c>
      <c r="H40" s="27">
        <f t="shared" si="9"/>
        <v>0</v>
      </c>
      <c r="I40" s="28">
        <f>G40/I12</f>
        <v>0</v>
      </c>
      <c r="J40" s="12"/>
      <c r="K40" s="12"/>
      <c r="L40" s="12"/>
      <c r="M40" s="12"/>
      <c r="N40" s="12"/>
      <c r="O40" s="12"/>
      <c r="P40" s="12"/>
      <c r="Q40" s="12"/>
      <c r="R40" s="12"/>
      <c r="S40" s="12"/>
      <c r="T40" s="12"/>
      <c r="U40" s="12"/>
      <c r="V40" s="12"/>
      <c r="W40" s="12"/>
      <c r="X40" s="12"/>
      <c r="Y40" s="12"/>
      <c r="Z40" s="12"/>
    </row>
    <row r="41" ht="18.75" customHeight="1">
      <c r="A41" s="40"/>
      <c r="B41" s="33"/>
      <c r="C41" s="40"/>
      <c r="D41" s="40"/>
      <c r="E41" s="45"/>
      <c r="F41" s="33"/>
      <c r="G41" s="26">
        <f t="shared" si="8"/>
        <v>0</v>
      </c>
      <c r="H41" s="27">
        <f t="shared" si="9"/>
        <v>0</v>
      </c>
      <c r="I41" s="28">
        <f>G41/I12</f>
        <v>0</v>
      </c>
      <c r="J41" s="12"/>
      <c r="K41" s="12"/>
      <c r="L41" s="12"/>
      <c r="M41" s="12"/>
      <c r="N41" s="12"/>
      <c r="O41" s="12"/>
      <c r="P41" s="12"/>
      <c r="Q41" s="12"/>
      <c r="R41" s="12"/>
      <c r="S41" s="12"/>
      <c r="T41" s="12"/>
      <c r="U41" s="12"/>
      <c r="V41" s="12"/>
      <c r="W41" s="12"/>
      <c r="X41" s="12"/>
      <c r="Y41" s="12"/>
      <c r="Z41" s="12"/>
    </row>
    <row r="42" ht="18.75" customHeight="1">
      <c r="A42" s="46" t="s">
        <v>116</v>
      </c>
      <c r="B42" s="46"/>
      <c r="C42" s="46"/>
      <c r="D42" s="46"/>
      <c r="E42" s="46"/>
      <c r="F42" s="47"/>
      <c r="G42" s="48">
        <f t="shared" ref="G42:I42" si="10">SUM(G32:G41)</f>
        <v>5930</v>
      </c>
      <c r="H42" s="58">
        <f t="shared" si="10"/>
        <v>131.7777778</v>
      </c>
      <c r="I42" s="50">
        <f t="shared" si="10"/>
        <v>1.347727273</v>
      </c>
      <c r="J42" s="11"/>
      <c r="K42" s="11"/>
      <c r="L42" s="11"/>
      <c r="M42" s="11"/>
      <c r="N42" s="11"/>
      <c r="O42" s="11"/>
      <c r="P42" s="11"/>
      <c r="Q42" s="11"/>
      <c r="R42" s="11"/>
      <c r="S42" s="11"/>
      <c r="T42" s="11"/>
      <c r="U42" s="11"/>
      <c r="V42" s="11"/>
      <c r="W42" s="11"/>
      <c r="X42" s="11"/>
      <c r="Y42" s="11"/>
      <c r="Z42" s="11"/>
    </row>
    <row r="43" ht="18.75" customHeight="1">
      <c r="A43" s="11"/>
      <c r="B43" s="59" t="s">
        <v>117</v>
      </c>
      <c r="C43" s="59"/>
      <c r="D43" s="59"/>
      <c r="E43" s="59"/>
      <c r="F43" s="59"/>
      <c r="G43" s="60"/>
      <c r="H43" s="60"/>
      <c r="I43" s="16"/>
      <c r="J43" s="11"/>
      <c r="K43" s="11"/>
      <c r="L43" s="11"/>
      <c r="M43" s="11"/>
      <c r="N43" s="11"/>
      <c r="O43" s="11"/>
      <c r="P43" s="11"/>
      <c r="Q43" s="11"/>
      <c r="R43" s="11"/>
      <c r="S43" s="11"/>
      <c r="T43" s="11"/>
      <c r="U43" s="11"/>
      <c r="V43" s="11"/>
      <c r="W43" s="11"/>
      <c r="X43" s="11"/>
      <c r="Y43" s="11"/>
      <c r="Z43" s="11"/>
    </row>
    <row r="44" ht="18.75" customHeight="1">
      <c r="A44" s="52" t="s">
        <v>25</v>
      </c>
      <c r="B44" s="53"/>
      <c r="C44" s="54"/>
      <c r="D44" s="54"/>
      <c r="E44" s="54"/>
      <c r="F44" s="54"/>
      <c r="G44" s="54"/>
      <c r="H44" s="53"/>
      <c r="I44" s="53"/>
      <c r="J44" s="55"/>
      <c r="K44" s="55"/>
      <c r="L44" s="55"/>
      <c r="M44" s="55"/>
      <c r="N44" s="55"/>
      <c r="O44" s="55"/>
      <c r="P44" s="55"/>
      <c r="Q44" s="55"/>
      <c r="R44" s="55"/>
      <c r="S44" s="55"/>
      <c r="T44" s="55"/>
      <c r="U44" s="55"/>
      <c r="V44" s="55"/>
      <c r="W44" s="55"/>
      <c r="X44" s="55"/>
      <c r="Y44" s="55"/>
      <c r="Z44" s="55"/>
    </row>
    <row r="45" ht="18.75" customHeight="1">
      <c r="A45" s="22" t="s">
        <v>104</v>
      </c>
      <c r="B45" s="22"/>
      <c r="C45" s="20" t="s">
        <v>105</v>
      </c>
      <c r="D45" s="20" t="s">
        <v>106</v>
      </c>
      <c r="E45" s="20" t="s">
        <v>118</v>
      </c>
      <c r="F45" s="20"/>
      <c r="G45" s="20" t="s">
        <v>108</v>
      </c>
      <c r="H45" s="20" t="s">
        <v>90</v>
      </c>
      <c r="I45" s="22" t="s">
        <v>91</v>
      </c>
      <c r="J45" s="12"/>
      <c r="K45" s="12"/>
      <c r="L45" s="12"/>
      <c r="M45" s="12"/>
      <c r="N45" s="12"/>
      <c r="O45" s="12"/>
      <c r="P45" s="12"/>
      <c r="Q45" s="12"/>
      <c r="R45" s="12"/>
      <c r="S45" s="12"/>
      <c r="T45" s="12"/>
      <c r="U45" s="12"/>
      <c r="V45" s="12"/>
      <c r="W45" s="12"/>
      <c r="X45" s="12"/>
      <c r="Y45" s="12"/>
      <c r="Z45" s="12"/>
    </row>
    <row r="46" ht="18.75" customHeight="1">
      <c r="A46" s="23" t="s">
        <v>119</v>
      </c>
      <c r="B46" s="22"/>
      <c r="C46" s="23">
        <v>4.0</v>
      </c>
      <c r="D46" s="23" t="s">
        <v>120</v>
      </c>
      <c r="E46" s="24">
        <v>25.0</v>
      </c>
      <c r="F46" s="22"/>
      <c r="G46" s="26">
        <f t="shared" ref="G46:G55" si="11">C46*E46</f>
        <v>100</v>
      </c>
      <c r="H46" s="27">
        <f t="shared" ref="H46:H55" si="12">G46/$H$8</f>
        <v>2.222222222</v>
      </c>
      <c r="I46" s="28">
        <f>G46/I12</f>
        <v>0.02272727273</v>
      </c>
      <c r="J46" s="12"/>
      <c r="K46" s="12"/>
      <c r="L46" s="12"/>
      <c r="M46" s="12"/>
      <c r="N46" s="12"/>
      <c r="O46" s="12"/>
      <c r="P46" s="12"/>
      <c r="Q46" s="12"/>
      <c r="R46" s="12"/>
      <c r="S46" s="12"/>
      <c r="T46" s="12"/>
      <c r="U46" s="12"/>
      <c r="V46" s="12"/>
      <c r="W46" s="12"/>
      <c r="X46" s="12"/>
      <c r="Y46" s="12"/>
      <c r="Z46" s="12"/>
    </row>
    <row r="47" ht="18.75" customHeight="1">
      <c r="A47" s="23" t="s">
        <v>121</v>
      </c>
      <c r="B47" s="22"/>
      <c r="C47" s="23">
        <v>60.0</v>
      </c>
      <c r="D47" s="23" t="s">
        <v>120</v>
      </c>
      <c r="E47" s="24">
        <v>17.94</v>
      </c>
      <c r="F47" s="22"/>
      <c r="G47" s="26">
        <f t="shared" si="11"/>
        <v>1076.4</v>
      </c>
      <c r="H47" s="27">
        <f t="shared" si="12"/>
        <v>23.92</v>
      </c>
      <c r="I47" s="28">
        <f>G47/I12</f>
        <v>0.2446363636</v>
      </c>
      <c r="J47" s="12"/>
      <c r="K47" s="12"/>
      <c r="L47" s="12"/>
      <c r="M47" s="12"/>
      <c r="N47" s="12"/>
      <c r="O47" s="12"/>
      <c r="P47" s="12"/>
      <c r="Q47" s="12"/>
      <c r="R47" s="12"/>
      <c r="S47" s="12"/>
      <c r="T47" s="12"/>
      <c r="U47" s="12"/>
      <c r="V47" s="12"/>
      <c r="W47" s="12"/>
      <c r="X47" s="12"/>
      <c r="Y47" s="12"/>
      <c r="Z47" s="12"/>
    </row>
    <row r="48" ht="18.75" customHeight="1">
      <c r="A48" s="23" t="s">
        <v>122</v>
      </c>
      <c r="B48" s="22"/>
      <c r="C48" s="23">
        <v>40.0</v>
      </c>
      <c r="D48" s="23" t="s">
        <v>120</v>
      </c>
      <c r="E48" s="24">
        <v>23.08</v>
      </c>
      <c r="F48" s="22"/>
      <c r="G48" s="26">
        <f t="shared" si="11"/>
        <v>923.2</v>
      </c>
      <c r="H48" s="27">
        <f t="shared" si="12"/>
        <v>20.51555556</v>
      </c>
      <c r="I48" s="28">
        <f>G48/I12</f>
        <v>0.2098181818</v>
      </c>
      <c r="J48" s="12"/>
      <c r="K48" s="12"/>
      <c r="L48" s="12"/>
      <c r="M48" s="12"/>
      <c r="N48" s="12"/>
      <c r="O48" s="12"/>
      <c r="P48" s="12"/>
      <c r="Q48" s="12"/>
      <c r="R48" s="12"/>
      <c r="S48" s="12"/>
      <c r="T48" s="12"/>
      <c r="U48" s="12"/>
      <c r="V48" s="12"/>
      <c r="W48" s="12"/>
      <c r="X48" s="12"/>
      <c r="Y48" s="12"/>
      <c r="Z48" s="12"/>
    </row>
    <row r="49" ht="18.75" customHeight="1">
      <c r="A49" s="23" t="s">
        <v>123</v>
      </c>
      <c r="B49" s="22"/>
      <c r="C49" s="23">
        <v>3.0</v>
      </c>
      <c r="D49" s="23" t="s">
        <v>124</v>
      </c>
      <c r="E49" s="24">
        <v>65.0</v>
      </c>
      <c r="F49" s="22"/>
      <c r="G49" s="26">
        <f t="shared" si="11"/>
        <v>195</v>
      </c>
      <c r="H49" s="27">
        <f t="shared" si="12"/>
        <v>4.333333333</v>
      </c>
      <c r="I49" s="28">
        <f>G49/I12</f>
        <v>0.04431818182</v>
      </c>
      <c r="J49" s="12"/>
      <c r="K49" s="12"/>
      <c r="L49" s="12"/>
      <c r="M49" s="12"/>
      <c r="N49" s="12"/>
      <c r="O49" s="12"/>
      <c r="P49" s="12"/>
      <c r="Q49" s="12"/>
      <c r="R49" s="12"/>
      <c r="S49" s="12"/>
      <c r="T49" s="12"/>
      <c r="U49" s="12"/>
      <c r="V49" s="12"/>
      <c r="W49" s="12"/>
      <c r="X49" s="12"/>
      <c r="Y49" s="12"/>
      <c r="Z49" s="12"/>
    </row>
    <row r="50" ht="18.75" customHeight="1">
      <c r="A50" s="23" t="s">
        <v>125</v>
      </c>
      <c r="B50" s="22"/>
      <c r="C50" s="23">
        <v>2.0</v>
      </c>
      <c r="D50" s="23" t="s">
        <v>126</v>
      </c>
      <c r="E50" s="24">
        <v>43.0</v>
      </c>
      <c r="F50" s="22"/>
      <c r="G50" s="26">
        <f t="shared" si="11"/>
        <v>86</v>
      </c>
      <c r="H50" s="27">
        <f t="shared" si="12"/>
        <v>1.911111111</v>
      </c>
      <c r="I50" s="28">
        <f>G50/I12</f>
        <v>0.01954545455</v>
      </c>
      <c r="J50" s="12"/>
      <c r="K50" s="12"/>
      <c r="L50" s="12"/>
      <c r="M50" s="12"/>
      <c r="N50" s="12"/>
      <c r="O50" s="12"/>
      <c r="P50" s="12"/>
      <c r="Q50" s="12"/>
      <c r="R50" s="12"/>
      <c r="S50" s="12"/>
      <c r="T50" s="12"/>
      <c r="U50" s="12"/>
      <c r="V50" s="12"/>
      <c r="W50" s="12"/>
      <c r="X50" s="12"/>
      <c r="Y50" s="12"/>
      <c r="Z50" s="12"/>
    </row>
    <row r="51" ht="18.75" customHeight="1">
      <c r="A51" s="23" t="s">
        <v>127</v>
      </c>
      <c r="B51" s="22"/>
      <c r="C51" s="23">
        <v>40.0</v>
      </c>
      <c r="D51" s="23" t="s">
        <v>120</v>
      </c>
      <c r="E51" s="24">
        <v>16.39</v>
      </c>
      <c r="F51" s="22"/>
      <c r="G51" s="26">
        <f t="shared" si="11"/>
        <v>655.6</v>
      </c>
      <c r="H51" s="27">
        <f t="shared" si="12"/>
        <v>14.56888889</v>
      </c>
      <c r="I51" s="28">
        <f>G51/I12</f>
        <v>0.149</v>
      </c>
      <c r="J51" s="12"/>
      <c r="K51" s="12"/>
      <c r="L51" s="12"/>
      <c r="M51" s="12"/>
      <c r="N51" s="12"/>
      <c r="O51" s="12"/>
      <c r="P51" s="12"/>
      <c r="Q51" s="12"/>
      <c r="R51" s="12"/>
      <c r="S51" s="12"/>
      <c r="T51" s="12"/>
      <c r="U51" s="12"/>
      <c r="V51" s="12"/>
      <c r="W51" s="12"/>
      <c r="X51" s="12"/>
      <c r="Y51" s="12"/>
      <c r="Z51" s="12"/>
    </row>
    <row r="52" ht="18.75" customHeight="1">
      <c r="A52" s="23" t="s">
        <v>128</v>
      </c>
      <c r="B52" s="22"/>
      <c r="C52" s="23">
        <v>4.0</v>
      </c>
      <c r="D52" s="23" t="s">
        <v>120</v>
      </c>
      <c r="E52" s="24">
        <v>6.5</v>
      </c>
      <c r="F52" s="22"/>
      <c r="G52" s="26">
        <f t="shared" si="11"/>
        <v>26</v>
      </c>
      <c r="H52" s="27">
        <f t="shared" si="12"/>
        <v>0.5777777778</v>
      </c>
      <c r="I52" s="28">
        <f>G52/I12</f>
        <v>0.005909090909</v>
      </c>
      <c r="J52" s="12"/>
      <c r="K52" s="12"/>
      <c r="L52" s="12"/>
      <c r="M52" s="12"/>
      <c r="N52" s="12"/>
      <c r="O52" s="12"/>
      <c r="P52" s="12"/>
      <c r="Q52" s="12"/>
      <c r="R52" s="12"/>
      <c r="S52" s="12"/>
      <c r="T52" s="12"/>
      <c r="U52" s="12"/>
      <c r="V52" s="12"/>
      <c r="W52" s="12"/>
      <c r="X52" s="12"/>
      <c r="Y52" s="12"/>
      <c r="Z52" s="12"/>
    </row>
    <row r="53" ht="18.75" customHeight="1">
      <c r="A53" s="23"/>
      <c r="B53" s="22"/>
      <c r="C53" s="23"/>
      <c r="D53" s="23"/>
      <c r="E53" s="24"/>
      <c r="F53" s="22"/>
      <c r="G53" s="26">
        <f t="shared" si="11"/>
        <v>0</v>
      </c>
      <c r="H53" s="27">
        <f t="shared" si="12"/>
        <v>0</v>
      </c>
      <c r="I53" s="28">
        <f>G53/I12</f>
        <v>0</v>
      </c>
      <c r="J53" s="12"/>
      <c r="K53" s="12"/>
      <c r="L53" s="12"/>
      <c r="M53" s="12"/>
      <c r="N53" s="12"/>
      <c r="O53" s="12"/>
      <c r="P53" s="12"/>
      <c r="Q53" s="12"/>
      <c r="R53" s="12"/>
      <c r="S53" s="12"/>
      <c r="T53" s="12"/>
      <c r="U53" s="12"/>
      <c r="V53" s="12"/>
      <c r="W53" s="12"/>
      <c r="X53" s="12"/>
      <c r="Y53" s="12"/>
      <c r="Z53" s="12"/>
    </row>
    <row r="54" ht="18.75" customHeight="1">
      <c r="A54" s="23"/>
      <c r="B54" s="22"/>
      <c r="C54" s="23"/>
      <c r="D54" s="23"/>
      <c r="E54" s="24"/>
      <c r="F54" s="22"/>
      <c r="G54" s="26">
        <f t="shared" si="11"/>
        <v>0</v>
      </c>
      <c r="H54" s="27">
        <f t="shared" si="12"/>
        <v>0</v>
      </c>
      <c r="I54" s="28">
        <f>G54/I12</f>
        <v>0</v>
      </c>
      <c r="J54" s="12"/>
      <c r="K54" s="12"/>
      <c r="L54" s="12"/>
      <c r="M54" s="12"/>
      <c r="N54" s="12"/>
      <c r="O54" s="12"/>
      <c r="P54" s="12"/>
      <c r="Q54" s="12"/>
      <c r="R54" s="12"/>
      <c r="S54" s="12"/>
      <c r="T54" s="12"/>
      <c r="U54" s="12"/>
      <c r="V54" s="12"/>
      <c r="W54" s="12"/>
      <c r="X54" s="12"/>
      <c r="Y54" s="12"/>
      <c r="Z54" s="12"/>
    </row>
    <row r="55" ht="18.75" customHeight="1">
      <c r="A55" s="40"/>
      <c r="B55" s="33"/>
      <c r="C55" s="40"/>
      <c r="D55" s="40"/>
      <c r="E55" s="45"/>
      <c r="F55" s="33"/>
      <c r="G55" s="26">
        <f t="shared" si="11"/>
        <v>0</v>
      </c>
      <c r="H55" s="27">
        <f t="shared" si="12"/>
        <v>0</v>
      </c>
      <c r="I55" s="28">
        <f>G55/I12</f>
        <v>0</v>
      </c>
      <c r="J55" s="12"/>
      <c r="K55" s="12"/>
      <c r="L55" s="12"/>
      <c r="M55" s="12"/>
      <c r="N55" s="12"/>
      <c r="O55" s="12"/>
      <c r="P55" s="12"/>
      <c r="Q55" s="12"/>
      <c r="R55" s="12"/>
      <c r="S55" s="12"/>
      <c r="T55" s="12"/>
      <c r="U55" s="12"/>
      <c r="V55" s="12"/>
      <c r="W55" s="12"/>
      <c r="X55" s="12"/>
      <c r="Y55" s="12"/>
      <c r="Z55" s="12"/>
    </row>
    <row r="56" ht="18.75" customHeight="1">
      <c r="A56" s="46" t="s">
        <v>129</v>
      </c>
      <c r="B56" s="46"/>
      <c r="C56" s="46"/>
      <c r="D56" s="46"/>
      <c r="E56" s="46"/>
      <c r="F56" s="47"/>
      <c r="G56" s="48">
        <f t="shared" ref="G56:I56" si="13">SUM(G46:G55)</f>
        <v>3062.2</v>
      </c>
      <c r="H56" s="58">
        <f t="shared" si="13"/>
        <v>68.04888889</v>
      </c>
      <c r="I56" s="50">
        <f t="shared" si="13"/>
        <v>0.6959545455</v>
      </c>
      <c r="J56" s="11"/>
      <c r="K56" s="11"/>
      <c r="L56" s="11"/>
      <c r="M56" s="11"/>
      <c r="N56" s="11"/>
      <c r="O56" s="11"/>
      <c r="P56" s="11"/>
      <c r="Q56" s="11"/>
      <c r="R56" s="11"/>
      <c r="S56" s="11"/>
      <c r="T56" s="11"/>
      <c r="U56" s="11"/>
      <c r="V56" s="11"/>
      <c r="W56" s="11"/>
      <c r="X56" s="11"/>
      <c r="Y56" s="11"/>
      <c r="Z56" s="11"/>
    </row>
    <row r="57" ht="18.75" customHeight="1">
      <c r="A57" s="11"/>
      <c r="B57" s="11"/>
      <c r="C57" s="11"/>
      <c r="D57" s="11"/>
      <c r="E57" s="11"/>
      <c r="F57" s="11"/>
      <c r="G57" s="16"/>
      <c r="H57" s="16"/>
      <c r="I57" s="16"/>
      <c r="J57" s="11"/>
      <c r="K57" s="11"/>
      <c r="L57" s="11"/>
      <c r="M57" s="11"/>
      <c r="N57" s="11"/>
      <c r="O57" s="11"/>
      <c r="P57" s="11"/>
      <c r="Q57" s="11"/>
      <c r="R57" s="11"/>
      <c r="S57" s="11"/>
      <c r="T57" s="11"/>
      <c r="U57" s="11"/>
      <c r="V57" s="11"/>
      <c r="W57" s="11"/>
      <c r="X57" s="11"/>
      <c r="Y57" s="11"/>
      <c r="Z57" s="11"/>
    </row>
    <row r="58" ht="18.75" customHeight="1">
      <c r="A58" s="17" t="s">
        <v>29</v>
      </c>
      <c r="B58" s="51"/>
      <c r="C58" s="51"/>
      <c r="D58" s="51"/>
      <c r="E58" s="51"/>
      <c r="F58" s="51"/>
      <c r="G58" s="51"/>
      <c r="H58" s="51"/>
      <c r="I58" s="51"/>
      <c r="J58" s="12"/>
      <c r="K58" s="12"/>
      <c r="L58" s="12"/>
      <c r="M58" s="12"/>
      <c r="N58" s="12"/>
      <c r="O58" s="12"/>
      <c r="P58" s="12"/>
      <c r="Q58" s="12"/>
      <c r="R58" s="12"/>
      <c r="S58" s="12"/>
      <c r="T58" s="12"/>
      <c r="U58" s="12"/>
      <c r="V58" s="12"/>
      <c r="W58" s="12"/>
      <c r="X58" s="12"/>
      <c r="Y58" s="12"/>
      <c r="Z58" s="12"/>
    </row>
    <row r="59" ht="36.75" customHeight="1">
      <c r="A59" s="56" t="s">
        <v>130</v>
      </c>
      <c r="B59" s="56"/>
      <c r="C59" s="57" t="s">
        <v>105</v>
      </c>
      <c r="D59" s="57" t="s">
        <v>106</v>
      </c>
      <c r="E59" s="57" t="s">
        <v>131</v>
      </c>
      <c r="F59" s="56"/>
      <c r="G59" s="57" t="s">
        <v>108</v>
      </c>
      <c r="H59" s="57" t="s">
        <v>90</v>
      </c>
      <c r="I59" s="57" t="s">
        <v>132</v>
      </c>
      <c r="J59" s="55"/>
      <c r="K59" s="55"/>
      <c r="L59" s="55"/>
      <c r="M59" s="55"/>
      <c r="N59" s="55"/>
      <c r="O59" s="55"/>
      <c r="P59" s="55"/>
      <c r="Q59" s="55"/>
      <c r="R59" s="55"/>
      <c r="S59" s="55"/>
      <c r="T59" s="55"/>
      <c r="U59" s="55"/>
      <c r="V59" s="55"/>
      <c r="W59" s="55"/>
      <c r="X59" s="55"/>
      <c r="Y59" s="55"/>
      <c r="Z59" s="55"/>
    </row>
    <row r="60" ht="18.75" customHeight="1">
      <c r="A60" s="23" t="s">
        <v>133</v>
      </c>
      <c r="B60" s="22"/>
      <c r="C60" s="23">
        <v>12.0</v>
      </c>
      <c r="D60" s="23" t="s">
        <v>110</v>
      </c>
      <c r="E60" s="24">
        <v>60.0</v>
      </c>
      <c r="F60" s="22"/>
      <c r="G60" s="26">
        <f t="shared" ref="G60:G64" si="14">C60*E60</f>
        <v>720</v>
      </c>
      <c r="H60" s="27">
        <f t="shared" ref="H60:H64" si="15">G60/$H$8</f>
        <v>16</v>
      </c>
      <c r="I60" s="28">
        <f>G60/I12</f>
        <v>0.1636363636</v>
      </c>
      <c r="J60" s="12"/>
      <c r="K60" s="12"/>
      <c r="L60" s="12"/>
      <c r="M60" s="12"/>
      <c r="N60" s="12"/>
      <c r="O60" s="12"/>
      <c r="P60" s="12"/>
      <c r="Q60" s="12"/>
      <c r="R60" s="12"/>
      <c r="S60" s="12"/>
      <c r="T60" s="12"/>
      <c r="U60" s="12"/>
      <c r="V60" s="12"/>
      <c r="W60" s="12"/>
      <c r="X60" s="12"/>
      <c r="Y60" s="12"/>
      <c r="Z60" s="12"/>
    </row>
    <row r="61" ht="18.75" customHeight="1">
      <c r="A61" s="23" t="s">
        <v>134</v>
      </c>
      <c r="B61" s="22"/>
      <c r="C61" s="23">
        <v>2.0</v>
      </c>
      <c r="D61" s="23" t="s">
        <v>110</v>
      </c>
      <c r="E61" s="24">
        <v>85.0</v>
      </c>
      <c r="F61" s="22"/>
      <c r="G61" s="26">
        <f t="shared" si="14"/>
        <v>170</v>
      </c>
      <c r="H61" s="27">
        <f t="shared" si="15"/>
        <v>3.777777778</v>
      </c>
      <c r="I61" s="28">
        <f>G61/I12</f>
        <v>0.03863636364</v>
      </c>
      <c r="J61" s="12"/>
      <c r="K61" s="12"/>
      <c r="L61" s="12"/>
      <c r="M61" s="12"/>
      <c r="N61" s="12"/>
      <c r="O61" s="12"/>
      <c r="P61" s="12"/>
      <c r="Q61" s="12"/>
      <c r="R61" s="12"/>
      <c r="S61" s="12"/>
      <c r="T61" s="12"/>
      <c r="U61" s="12"/>
      <c r="V61" s="12"/>
      <c r="W61" s="12"/>
      <c r="X61" s="12"/>
      <c r="Y61" s="12"/>
      <c r="Z61" s="12"/>
    </row>
    <row r="62" ht="18.75" customHeight="1">
      <c r="A62" s="23"/>
      <c r="B62" s="22"/>
      <c r="C62" s="23"/>
      <c r="D62" s="23"/>
      <c r="E62" s="24"/>
      <c r="F62" s="22"/>
      <c r="G62" s="26">
        <f t="shared" si="14"/>
        <v>0</v>
      </c>
      <c r="H62" s="27">
        <f t="shared" si="15"/>
        <v>0</v>
      </c>
      <c r="I62" s="28">
        <f>G62/I12</f>
        <v>0</v>
      </c>
      <c r="J62" s="12"/>
      <c r="K62" s="12"/>
      <c r="L62" s="12"/>
      <c r="M62" s="12"/>
      <c r="N62" s="12"/>
      <c r="O62" s="12"/>
      <c r="P62" s="12"/>
      <c r="Q62" s="12"/>
      <c r="R62" s="12"/>
      <c r="S62" s="12"/>
      <c r="T62" s="12"/>
      <c r="U62" s="12"/>
      <c r="V62" s="12"/>
      <c r="W62" s="12"/>
      <c r="X62" s="12"/>
      <c r="Y62" s="12"/>
      <c r="Z62" s="12"/>
    </row>
    <row r="63" ht="18.75" customHeight="1">
      <c r="A63" s="23"/>
      <c r="B63" s="22"/>
      <c r="C63" s="23"/>
      <c r="D63" s="23"/>
      <c r="E63" s="24"/>
      <c r="F63" s="22"/>
      <c r="G63" s="26">
        <f t="shared" si="14"/>
        <v>0</v>
      </c>
      <c r="H63" s="27">
        <f t="shared" si="15"/>
        <v>0</v>
      </c>
      <c r="I63" s="28">
        <f>G63/I12</f>
        <v>0</v>
      </c>
      <c r="J63" s="12"/>
      <c r="K63" s="12"/>
      <c r="L63" s="12"/>
      <c r="M63" s="12"/>
      <c r="N63" s="12"/>
      <c r="O63" s="12"/>
      <c r="P63" s="12"/>
      <c r="Q63" s="12"/>
      <c r="R63" s="12"/>
      <c r="S63" s="12"/>
      <c r="T63" s="12"/>
      <c r="U63" s="12"/>
      <c r="V63" s="12"/>
      <c r="W63" s="12"/>
      <c r="X63" s="12"/>
      <c r="Y63" s="12"/>
      <c r="Z63" s="12"/>
    </row>
    <row r="64" ht="18.75" customHeight="1">
      <c r="A64" s="40"/>
      <c r="B64" s="33"/>
      <c r="C64" s="40"/>
      <c r="D64" s="40"/>
      <c r="E64" s="45"/>
      <c r="F64" s="33"/>
      <c r="G64" s="26">
        <f t="shared" si="14"/>
        <v>0</v>
      </c>
      <c r="H64" s="27">
        <f t="shared" si="15"/>
        <v>0</v>
      </c>
      <c r="I64" s="28">
        <f>G64/I12</f>
        <v>0</v>
      </c>
      <c r="J64" s="12"/>
      <c r="K64" s="12"/>
      <c r="L64" s="12"/>
      <c r="M64" s="12"/>
      <c r="N64" s="12"/>
      <c r="O64" s="12"/>
      <c r="P64" s="12"/>
      <c r="Q64" s="12"/>
      <c r="R64" s="12"/>
      <c r="S64" s="12"/>
      <c r="T64" s="12"/>
      <c r="U64" s="12"/>
      <c r="V64" s="12"/>
      <c r="W64" s="12"/>
      <c r="X64" s="12"/>
      <c r="Y64" s="12"/>
      <c r="Z64" s="12"/>
    </row>
    <row r="65" ht="18.75" customHeight="1">
      <c r="A65" s="46" t="s">
        <v>135</v>
      </c>
      <c r="B65" s="46"/>
      <c r="C65" s="46"/>
      <c r="D65" s="46"/>
      <c r="E65" s="46"/>
      <c r="F65" s="47"/>
      <c r="G65" s="48">
        <f t="shared" ref="G65:I65" si="16">SUM(G60:G64)</f>
        <v>890</v>
      </c>
      <c r="H65" s="58">
        <f t="shared" si="16"/>
        <v>19.77777778</v>
      </c>
      <c r="I65" s="50">
        <f t="shared" si="16"/>
        <v>0.2022727273</v>
      </c>
      <c r="J65" s="11"/>
      <c r="K65" s="11"/>
      <c r="L65" s="11"/>
      <c r="M65" s="11"/>
      <c r="N65" s="11"/>
      <c r="O65" s="11"/>
      <c r="P65" s="11"/>
      <c r="Q65" s="11"/>
      <c r="R65" s="11"/>
      <c r="S65" s="11"/>
      <c r="T65" s="11"/>
      <c r="U65" s="11"/>
      <c r="V65" s="11"/>
      <c r="W65" s="11"/>
      <c r="X65" s="11"/>
      <c r="Y65" s="11"/>
      <c r="Z65" s="11"/>
    </row>
    <row r="66" ht="18.75" customHeight="1">
      <c r="A66" s="11"/>
      <c r="B66" s="11"/>
      <c r="C66" s="11"/>
      <c r="D66" s="11"/>
      <c r="E66" s="11"/>
      <c r="F66" s="11"/>
      <c r="G66" s="16"/>
      <c r="H66" s="16"/>
      <c r="I66" s="16"/>
      <c r="J66" s="11"/>
      <c r="K66" s="11"/>
      <c r="L66" s="11"/>
      <c r="M66" s="11"/>
      <c r="N66" s="11"/>
      <c r="O66" s="11"/>
      <c r="P66" s="11"/>
      <c r="Q66" s="11"/>
      <c r="R66" s="11"/>
      <c r="S66" s="11"/>
      <c r="T66" s="11"/>
      <c r="U66" s="11"/>
      <c r="V66" s="11"/>
      <c r="W66" s="11"/>
      <c r="X66" s="11"/>
      <c r="Y66" s="11"/>
      <c r="Z66" s="11"/>
    </row>
    <row r="67" ht="18.75" customHeight="1">
      <c r="A67" s="52" t="s">
        <v>136</v>
      </c>
      <c r="B67" s="61"/>
      <c r="C67" s="62"/>
      <c r="D67" s="62"/>
      <c r="E67" s="62"/>
      <c r="F67" s="62"/>
      <c r="G67" s="62"/>
      <c r="H67" s="61"/>
      <c r="I67" s="61"/>
      <c r="J67" s="55"/>
      <c r="K67" s="55"/>
      <c r="L67" s="55"/>
      <c r="M67" s="55"/>
      <c r="N67" s="55"/>
      <c r="O67" s="55"/>
      <c r="P67" s="55"/>
      <c r="Q67" s="55"/>
      <c r="R67" s="55"/>
      <c r="S67" s="55"/>
      <c r="T67" s="55"/>
      <c r="U67" s="55"/>
      <c r="V67" s="55"/>
      <c r="W67" s="55"/>
      <c r="X67" s="55"/>
      <c r="Y67" s="55"/>
      <c r="Z67" s="55"/>
    </row>
    <row r="68" ht="18.75" customHeight="1">
      <c r="A68" s="22" t="s">
        <v>137</v>
      </c>
      <c r="B68" s="29"/>
      <c r="C68" s="63"/>
      <c r="D68" s="63"/>
      <c r="E68" s="63"/>
      <c r="F68" s="64"/>
      <c r="G68" s="20" t="s">
        <v>108</v>
      </c>
      <c r="H68" s="20" t="s">
        <v>90</v>
      </c>
      <c r="I68" s="20" t="s">
        <v>91</v>
      </c>
      <c r="J68" s="12"/>
      <c r="K68" s="12"/>
      <c r="L68" s="12"/>
      <c r="M68" s="12"/>
      <c r="N68" s="12"/>
      <c r="O68" s="12"/>
      <c r="P68" s="12"/>
      <c r="Q68" s="12"/>
      <c r="R68" s="12"/>
      <c r="S68" s="12"/>
      <c r="T68" s="12"/>
      <c r="U68" s="12"/>
      <c r="V68" s="12"/>
      <c r="W68" s="12"/>
      <c r="X68" s="12"/>
      <c r="Y68" s="12"/>
      <c r="Z68" s="12"/>
    </row>
    <row r="69" ht="18.75" customHeight="1">
      <c r="A69" s="23" t="s">
        <v>138</v>
      </c>
      <c r="B69" s="29"/>
      <c r="C69" s="30"/>
      <c r="D69" s="30"/>
      <c r="E69" s="30"/>
      <c r="F69" s="32"/>
      <c r="G69" s="24">
        <v>100.0</v>
      </c>
      <c r="H69" s="27">
        <f t="shared" ref="H69:H83" si="17">G69/$H$8</f>
        <v>2.222222222</v>
      </c>
      <c r="I69" s="28">
        <f>G69/I12</f>
        <v>0.02272727273</v>
      </c>
      <c r="J69" s="12"/>
      <c r="K69" s="12"/>
      <c r="L69" s="12"/>
      <c r="M69" s="12"/>
      <c r="N69" s="12"/>
      <c r="O69" s="12"/>
      <c r="P69" s="12"/>
      <c r="Q69" s="12"/>
      <c r="R69" s="12"/>
      <c r="S69" s="12"/>
      <c r="T69" s="12"/>
      <c r="U69" s="12"/>
      <c r="V69" s="12"/>
      <c r="W69" s="12"/>
      <c r="X69" s="12"/>
      <c r="Y69" s="12"/>
      <c r="Z69" s="12"/>
    </row>
    <row r="70" ht="18.75" customHeight="1">
      <c r="A70" s="23" t="s">
        <v>139</v>
      </c>
      <c r="B70" s="29"/>
      <c r="C70" s="30"/>
      <c r="D70" s="30"/>
      <c r="E70" s="30"/>
      <c r="F70" s="32"/>
      <c r="G70" s="24">
        <v>150.0</v>
      </c>
      <c r="H70" s="27">
        <f t="shared" si="17"/>
        <v>3.333333333</v>
      </c>
      <c r="I70" s="28">
        <f>G70/I12</f>
        <v>0.03409090909</v>
      </c>
      <c r="J70" s="12"/>
      <c r="K70" s="12"/>
      <c r="L70" s="12"/>
      <c r="M70" s="12"/>
      <c r="N70" s="12"/>
      <c r="O70" s="12"/>
      <c r="P70" s="12"/>
      <c r="Q70" s="12"/>
      <c r="R70" s="12"/>
      <c r="S70" s="12"/>
      <c r="T70" s="12"/>
      <c r="U70" s="12"/>
      <c r="V70" s="12"/>
      <c r="W70" s="12"/>
      <c r="X70" s="12"/>
      <c r="Y70" s="12"/>
      <c r="Z70" s="12"/>
    </row>
    <row r="71" ht="18.75" customHeight="1">
      <c r="A71" s="23" t="s">
        <v>140</v>
      </c>
      <c r="B71" s="29"/>
      <c r="C71" s="30"/>
      <c r="D71" s="30"/>
      <c r="E71" s="30"/>
      <c r="F71" s="32"/>
      <c r="G71" s="24">
        <v>110.0</v>
      </c>
      <c r="H71" s="27">
        <f t="shared" si="17"/>
        <v>2.444444444</v>
      </c>
      <c r="I71" s="28">
        <f>G71/I12</f>
        <v>0.025</v>
      </c>
      <c r="J71" s="12"/>
      <c r="K71" s="12"/>
      <c r="L71" s="12"/>
      <c r="M71" s="12"/>
      <c r="N71" s="12"/>
      <c r="O71" s="12"/>
      <c r="P71" s="12"/>
      <c r="Q71" s="12"/>
      <c r="R71" s="12"/>
      <c r="S71" s="12"/>
      <c r="T71" s="12"/>
      <c r="U71" s="12"/>
      <c r="V71" s="12"/>
      <c r="W71" s="12"/>
      <c r="X71" s="12"/>
      <c r="Y71" s="12"/>
      <c r="Z71" s="12"/>
    </row>
    <row r="72" ht="18.75" customHeight="1">
      <c r="A72" s="23"/>
      <c r="B72" s="29"/>
      <c r="C72" s="30"/>
      <c r="D72" s="30"/>
      <c r="E72" s="30"/>
      <c r="F72" s="32"/>
      <c r="G72" s="24"/>
      <c r="H72" s="27">
        <f t="shared" si="17"/>
        <v>0</v>
      </c>
      <c r="I72" s="28">
        <f>G72/I12</f>
        <v>0</v>
      </c>
      <c r="J72" s="12"/>
      <c r="K72" s="12"/>
      <c r="L72" s="12"/>
      <c r="M72" s="12"/>
      <c r="N72" s="12"/>
      <c r="O72" s="12"/>
      <c r="P72" s="12"/>
      <c r="Q72" s="12"/>
      <c r="R72" s="12"/>
      <c r="S72" s="12"/>
      <c r="T72" s="12"/>
      <c r="U72" s="12"/>
      <c r="V72" s="12"/>
      <c r="W72" s="12"/>
      <c r="X72" s="12"/>
      <c r="Y72" s="12"/>
      <c r="Z72" s="12"/>
    </row>
    <row r="73" ht="18.75" customHeight="1">
      <c r="A73" s="23" t="s">
        <v>141</v>
      </c>
      <c r="B73" s="29"/>
      <c r="C73" s="30"/>
      <c r="D73" s="30"/>
      <c r="E73" s="30"/>
      <c r="F73" s="32"/>
      <c r="G73" s="24">
        <v>95.0</v>
      </c>
      <c r="H73" s="27">
        <f t="shared" si="17"/>
        <v>2.111111111</v>
      </c>
      <c r="I73" s="28">
        <f>G73/I12</f>
        <v>0.02159090909</v>
      </c>
      <c r="J73" s="12"/>
      <c r="K73" s="12"/>
      <c r="L73" s="12"/>
      <c r="M73" s="12"/>
      <c r="N73" s="12"/>
      <c r="O73" s="12"/>
      <c r="P73" s="12"/>
      <c r="Q73" s="12"/>
      <c r="R73" s="12"/>
      <c r="S73" s="12"/>
      <c r="T73" s="12"/>
      <c r="U73" s="12"/>
      <c r="V73" s="12"/>
      <c r="W73" s="12"/>
      <c r="X73" s="12"/>
      <c r="Y73" s="12"/>
      <c r="Z73" s="12"/>
    </row>
    <row r="74" ht="18.75" customHeight="1">
      <c r="A74" s="23" t="s">
        <v>142</v>
      </c>
      <c r="B74" s="29"/>
      <c r="C74" s="30"/>
      <c r="D74" s="30"/>
      <c r="E74" s="30"/>
      <c r="F74" s="32"/>
      <c r="G74" s="24">
        <v>135.0</v>
      </c>
      <c r="H74" s="27">
        <f t="shared" si="17"/>
        <v>3</v>
      </c>
      <c r="I74" s="28">
        <f>G74/I12</f>
        <v>0.03068181818</v>
      </c>
      <c r="J74" s="12"/>
      <c r="K74" s="12"/>
      <c r="L74" s="12"/>
      <c r="M74" s="12"/>
      <c r="N74" s="12"/>
      <c r="O74" s="12"/>
      <c r="P74" s="12"/>
      <c r="Q74" s="12"/>
      <c r="R74" s="12"/>
      <c r="S74" s="12"/>
      <c r="T74" s="12"/>
      <c r="U74" s="12"/>
      <c r="V74" s="12"/>
      <c r="W74" s="12"/>
      <c r="X74" s="12"/>
      <c r="Y74" s="12"/>
      <c r="Z74" s="12"/>
    </row>
    <row r="75" ht="18.75" customHeight="1">
      <c r="A75" s="23"/>
      <c r="B75" s="29"/>
      <c r="C75" s="30"/>
      <c r="D75" s="30"/>
      <c r="E75" s="30"/>
      <c r="F75" s="32"/>
      <c r="G75" s="24"/>
      <c r="H75" s="27">
        <f t="shared" si="17"/>
        <v>0</v>
      </c>
      <c r="I75" s="28">
        <f>G75/I12</f>
        <v>0</v>
      </c>
      <c r="J75" s="12"/>
      <c r="K75" s="12"/>
      <c r="L75" s="12"/>
      <c r="M75" s="12"/>
      <c r="N75" s="12"/>
      <c r="O75" s="12"/>
      <c r="P75" s="12"/>
      <c r="Q75" s="12"/>
      <c r="R75" s="12"/>
      <c r="S75" s="12"/>
      <c r="T75" s="12"/>
      <c r="U75" s="12"/>
      <c r="V75" s="12"/>
      <c r="W75" s="12"/>
      <c r="X75" s="12"/>
      <c r="Y75" s="12"/>
      <c r="Z75" s="12"/>
    </row>
    <row r="76" ht="18.75" customHeight="1">
      <c r="A76" s="23"/>
      <c r="B76" s="29"/>
      <c r="C76" s="30"/>
      <c r="D76" s="30"/>
      <c r="E76" s="30"/>
      <c r="F76" s="32"/>
      <c r="G76" s="24"/>
      <c r="H76" s="27">
        <f t="shared" si="17"/>
        <v>0</v>
      </c>
      <c r="I76" s="28">
        <f>G76/I12</f>
        <v>0</v>
      </c>
      <c r="J76" s="12"/>
      <c r="K76" s="12"/>
      <c r="L76" s="12"/>
      <c r="M76" s="12"/>
      <c r="N76" s="12"/>
      <c r="O76" s="12"/>
      <c r="P76" s="12"/>
      <c r="Q76" s="12"/>
      <c r="R76" s="12"/>
      <c r="S76" s="12"/>
      <c r="T76" s="12"/>
      <c r="U76" s="12"/>
      <c r="V76" s="12"/>
      <c r="W76" s="12"/>
      <c r="X76" s="12"/>
      <c r="Y76" s="12"/>
      <c r="Z76" s="12"/>
    </row>
    <row r="77" ht="18.75" customHeight="1">
      <c r="A77" s="23"/>
      <c r="B77" s="29"/>
      <c r="C77" s="30"/>
      <c r="D77" s="30"/>
      <c r="E77" s="30"/>
      <c r="F77" s="32"/>
      <c r="G77" s="24"/>
      <c r="H77" s="27">
        <f t="shared" si="17"/>
        <v>0</v>
      </c>
      <c r="I77" s="28">
        <f>G77/I12</f>
        <v>0</v>
      </c>
      <c r="J77" s="12"/>
      <c r="K77" s="12"/>
      <c r="L77" s="12"/>
      <c r="M77" s="12"/>
      <c r="N77" s="12"/>
      <c r="O77" s="12"/>
      <c r="P77" s="12"/>
      <c r="Q77" s="12"/>
      <c r="R77" s="12"/>
      <c r="S77" s="12"/>
      <c r="T77" s="12"/>
      <c r="U77" s="12"/>
      <c r="V77" s="12"/>
      <c r="W77" s="12"/>
      <c r="X77" s="12"/>
      <c r="Y77" s="12"/>
      <c r="Z77" s="12"/>
    </row>
    <row r="78" ht="18.75" customHeight="1">
      <c r="A78" s="23"/>
      <c r="B78" s="29"/>
      <c r="C78" s="30"/>
      <c r="D78" s="30"/>
      <c r="E78" s="30"/>
      <c r="F78" s="32"/>
      <c r="G78" s="24"/>
      <c r="H78" s="27">
        <f t="shared" si="17"/>
        <v>0</v>
      </c>
      <c r="I78" s="28">
        <f>G78/I12</f>
        <v>0</v>
      </c>
      <c r="J78" s="12"/>
      <c r="K78" s="12"/>
      <c r="L78" s="12"/>
      <c r="M78" s="12"/>
      <c r="N78" s="12"/>
      <c r="O78" s="12"/>
      <c r="P78" s="12"/>
      <c r="Q78" s="12"/>
      <c r="R78" s="12"/>
      <c r="S78" s="12"/>
      <c r="T78" s="12"/>
      <c r="U78" s="12"/>
      <c r="V78" s="12"/>
      <c r="W78" s="12"/>
      <c r="X78" s="12"/>
      <c r="Y78" s="12"/>
      <c r="Z78" s="12"/>
    </row>
    <row r="79" ht="18.75" customHeight="1">
      <c r="A79" s="23"/>
      <c r="B79" s="29"/>
      <c r="C79" s="30"/>
      <c r="D79" s="30"/>
      <c r="E79" s="30"/>
      <c r="F79" s="32"/>
      <c r="G79" s="24"/>
      <c r="H79" s="27">
        <f t="shared" si="17"/>
        <v>0</v>
      </c>
      <c r="I79" s="28">
        <f>G79/I12</f>
        <v>0</v>
      </c>
      <c r="J79" s="12"/>
      <c r="K79" s="12"/>
      <c r="L79" s="12"/>
      <c r="M79" s="12"/>
      <c r="N79" s="12"/>
      <c r="O79" s="12"/>
      <c r="P79" s="12"/>
      <c r="Q79" s="12"/>
      <c r="R79" s="12"/>
      <c r="S79" s="12"/>
      <c r="T79" s="12"/>
      <c r="U79" s="12"/>
      <c r="V79" s="12"/>
      <c r="W79" s="12"/>
      <c r="X79" s="12"/>
      <c r="Y79" s="12"/>
      <c r="Z79" s="12"/>
    </row>
    <row r="80" ht="18.75" customHeight="1">
      <c r="A80" s="23"/>
      <c r="B80" s="29"/>
      <c r="C80" s="30"/>
      <c r="D80" s="30"/>
      <c r="E80" s="30"/>
      <c r="F80" s="32"/>
      <c r="G80" s="24"/>
      <c r="H80" s="27">
        <f t="shared" si="17"/>
        <v>0</v>
      </c>
      <c r="I80" s="28">
        <f>G80/I12</f>
        <v>0</v>
      </c>
      <c r="J80" s="12"/>
      <c r="K80" s="12"/>
      <c r="L80" s="12"/>
      <c r="M80" s="12"/>
      <c r="N80" s="12"/>
      <c r="O80" s="12"/>
      <c r="P80" s="12"/>
      <c r="Q80" s="12"/>
      <c r="R80" s="12"/>
      <c r="S80" s="12"/>
      <c r="T80" s="12"/>
      <c r="U80" s="12"/>
      <c r="V80" s="12"/>
      <c r="W80" s="12"/>
      <c r="X80" s="12"/>
      <c r="Y80" s="12"/>
      <c r="Z80" s="12"/>
    </row>
    <row r="81" ht="18.75" customHeight="1">
      <c r="A81" s="23"/>
      <c r="B81" s="29"/>
      <c r="C81" s="30"/>
      <c r="D81" s="30"/>
      <c r="E81" s="30"/>
      <c r="F81" s="32"/>
      <c r="G81" s="24"/>
      <c r="H81" s="27">
        <f t="shared" si="17"/>
        <v>0</v>
      </c>
      <c r="I81" s="28">
        <f>G81/I12</f>
        <v>0</v>
      </c>
      <c r="J81" s="12"/>
      <c r="K81" s="12"/>
      <c r="L81" s="12"/>
      <c r="M81" s="12"/>
      <c r="N81" s="12"/>
      <c r="O81" s="12"/>
      <c r="P81" s="12"/>
      <c r="Q81" s="12"/>
      <c r="R81" s="12"/>
      <c r="S81" s="12"/>
      <c r="T81" s="12"/>
      <c r="U81" s="12"/>
      <c r="V81" s="12"/>
      <c r="W81" s="12"/>
      <c r="X81" s="12"/>
      <c r="Y81" s="12"/>
      <c r="Z81" s="12"/>
    </row>
    <row r="82" ht="18.75" customHeight="1">
      <c r="A82" s="23"/>
      <c r="B82" s="29"/>
      <c r="C82" s="30"/>
      <c r="D82" s="30"/>
      <c r="E82" s="30"/>
      <c r="F82" s="32"/>
      <c r="G82" s="24"/>
      <c r="H82" s="27">
        <f t="shared" si="17"/>
        <v>0</v>
      </c>
      <c r="I82" s="28">
        <f>G82/I12</f>
        <v>0</v>
      </c>
      <c r="J82" s="12"/>
      <c r="K82" s="12"/>
      <c r="L82" s="12"/>
      <c r="M82" s="12"/>
      <c r="N82" s="12"/>
      <c r="O82" s="12"/>
      <c r="P82" s="12"/>
      <c r="Q82" s="12"/>
      <c r="R82" s="12"/>
      <c r="S82" s="12"/>
      <c r="T82" s="12"/>
      <c r="U82" s="12"/>
      <c r="V82" s="12"/>
      <c r="W82" s="12"/>
      <c r="X82" s="12"/>
      <c r="Y82" s="12"/>
      <c r="Z82" s="12"/>
    </row>
    <row r="83" ht="18.75" customHeight="1">
      <c r="A83" s="40"/>
      <c r="B83" s="34"/>
      <c r="C83" s="35"/>
      <c r="D83" s="35"/>
      <c r="E83" s="35"/>
      <c r="F83" s="37"/>
      <c r="G83" s="24"/>
      <c r="H83" s="27">
        <f t="shared" si="17"/>
        <v>0</v>
      </c>
      <c r="I83" s="28">
        <f>G83/I12</f>
        <v>0</v>
      </c>
      <c r="J83" s="12"/>
      <c r="K83" s="12"/>
      <c r="L83" s="12"/>
      <c r="M83" s="12"/>
      <c r="N83" s="12"/>
      <c r="O83" s="12"/>
      <c r="P83" s="12"/>
      <c r="Q83" s="12"/>
      <c r="R83" s="12"/>
      <c r="S83" s="12"/>
      <c r="T83" s="12"/>
      <c r="U83" s="12"/>
      <c r="V83" s="12"/>
      <c r="W83" s="12"/>
      <c r="X83" s="12"/>
      <c r="Y83" s="12"/>
      <c r="Z83" s="12"/>
    </row>
    <row r="84" ht="18.75" customHeight="1">
      <c r="A84" s="46" t="s">
        <v>143</v>
      </c>
      <c r="B84" s="30"/>
      <c r="C84" s="30"/>
      <c r="D84" s="30"/>
      <c r="E84" s="30"/>
      <c r="F84" s="32"/>
      <c r="G84" s="48">
        <f t="shared" ref="G84:I84" si="18">SUM(G69:G83)</f>
        <v>590</v>
      </c>
      <c r="H84" s="58">
        <f t="shared" si="18"/>
        <v>13.11111111</v>
      </c>
      <c r="I84" s="50">
        <f t="shared" si="18"/>
        <v>0.1340909091</v>
      </c>
      <c r="J84" s="12"/>
      <c r="K84" s="12"/>
      <c r="L84" s="12"/>
      <c r="M84" s="12"/>
      <c r="N84" s="12"/>
      <c r="O84" s="12"/>
      <c r="P84" s="12"/>
      <c r="Q84" s="12"/>
      <c r="R84" s="12"/>
      <c r="S84" s="12"/>
      <c r="T84" s="12"/>
      <c r="U84" s="12"/>
      <c r="V84" s="12"/>
      <c r="W84" s="12"/>
      <c r="X84" s="12"/>
      <c r="Y84" s="12"/>
      <c r="Z84" s="12"/>
    </row>
    <row r="85" ht="18.75" customHeight="1">
      <c r="A85" s="11"/>
      <c r="B85" s="12"/>
      <c r="C85" s="12"/>
      <c r="D85" s="12"/>
      <c r="E85" s="12"/>
      <c r="F85" s="12"/>
      <c r="G85" s="16"/>
      <c r="H85" s="16"/>
      <c r="I85" s="16"/>
      <c r="J85" s="12"/>
      <c r="K85" s="12"/>
      <c r="L85" s="12"/>
      <c r="M85" s="12"/>
      <c r="N85" s="12"/>
      <c r="O85" s="12"/>
      <c r="P85" s="12"/>
      <c r="Q85" s="12"/>
      <c r="R85" s="12"/>
      <c r="S85" s="12"/>
      <c r="T85" s="12"/>
      <c r="U85" s="12"/>
      <c r="V85" s="12"/>
      <c r="W85" s="12"/>
      <c r="X85" s="12"/>
      <c r="Y85" s="12"/>
      <c r="Z85" s="12"/>
    </row>
    <row r="86" ht="18.75" customHeight="1">
      <c r="A86" s="52" t="s">
        <v>38</v>
      </c>
      <c r="B86" s="53"/>
      <c r="C86" s="54"/>
      <c r="D86" s="54"/>
      <c r="E86" s="54"/>
      <c r="F86" s="54"/>
      <c r="G86" s="54"/>
      <c r="H86" s="53"/>
      <c r="I86" s="53"/>
      <c r="J86" s="55"/>
      <c r="K86" s="55"/>
      <c r="L86" s="55"/>
      <c r="M86" s="55"/>
      <c r="N86" s="55"/>
      <c r="O86" s="55"/>
      <c r="P86" s="55"/>
      <c r="Q86" s="55"/>
      <c r="R86" s="55"/>
      <c r="S86" s="55"/>
      <c r="T86" s="55"/>
      <c r="U86" s="55"/>
      <c r="V86" s="55"/>
      <c r="W86" s="55"/>
      <c r="X86" s="55"/>
      <c r="Y86" s="55"/>
      <c r="Z86" s="55"/>
    </row>
    <row r="87" ht="18.75" customHeight="1">
      <c r="A87" s="65"/>
      <c r="B87" s="66" t="s">
        <v>144</v>
      </c>
      <c r="C87" s="67"/>
      <c r="D87" s="67"/>
      <c r="E87" s="67"/>
      <c r="F87" s="67"/>
      <c r="G87" s="67"/>
      <c r="H87" s="66"/>
      <c r="I87" s="68"/>
      <c r="J87" s="55"/>
      <c r="K87" s="55"/>
      <c r="L87" s="55"/>
      <c r="M87" s="55"/>
      <c r="N87" s="55"/>
      <c r="O87" s="55"/>
      <c r="P87" s="55"/>
      <c r="Q87" s="55"/>
      <c r="R87" s="55"/>
      <c r="S87" s="55"/>
      <c r="T87" s="55"/>
      <c r="U87" s="55"/>
      <c r="V87" s="55"/>
      <c r="W87" s="55"/>
      <c r="X87" s="55"/>
      <c r="Y87" s="55"/>
      <c r="Z87" s="55"/>
    </row>
    <row r="88" ht="18.75" customHeight="1">
      <c r="A88" s="22" t="s">
        <v>137</v>
      </c>
      <c r="B88" s="29"/>
      <c r="C88" s="63"/>
      <c r="D88" s="63"/>
      <c r="E88" s="63"/>
      <c r="F88" s="64"/>
      <c r="G88" s="20" t="s">
        <v>108</v>
      </c>
      <c r="H88" s="20" t="s">
        <v>90</v>
      </c>
      <c r="I88" s="22" t="s">
        <v>91</v>
      </c>
      <c r="J88" s="12"/>
      <c r="K88" s="12"/>
      <c r="L88" s="12"/>
      <c r="M88" s="12"/>
      <c r="N88" s="12"/>
      <c r="O88" s="12"/>
      <c r="P88" s="12"/>
      <c r="Q88" s="12"/>
      <c r="R88" s="12"/>
      <c r="S88" s="12"/>
      <c r="T88" s="12"/>
      <c r="U88" s="12"/>
      <c r="V88" s="12"/>
      <c r="W88" s="12"/>
      <c r="X88" s="12"/>
      <c r="Y88" s="12"/>
      <c r="Z88" s="12"/>
    </row>
    <row r="89" ht="18.75" customHeight="1">
      <c r="A89" s="23" t="s">
        <v>145</v>
      </c>
      <c r="B89" s="29"/>
      <c r="C89" s="30"/>
      <c r="D89" s="30"/>
      <c r="E89" s="30"/>
      <c r="F89" s="32"/>
      <c r="G89" s="24">
        <v>42.0</v>
      </c>
      <c r="H89" s="27">
        <f t="shared" ref="H89:H97" si="19">G89/$H$8</f>
        <v>0.9333333333</v>
      </c>
      <c r="I89" s="28">
        <f>G89/I12</f>
        <v>0.009545454545</v>
      </c>
      <c r="J89" s="12"/>
      <c r="K89" s="12"/>
      <c r="L89" s="12"/>
      <c r="M89" s="12"/>
      <c r="N89" s="12"/>
      <c r="O89" s="12"/>
      <c r="P89" s="12"/>
      <c r="Q89" s="12"/>
      <c r="R89" s="12"/>
      <c r="S89" s="12"/>
      <c r="T89" s="12"/>
      <c r="U89" s="12"/>
      <c r="V89" s="12"/>
      <c r="W89" s="12"/>
      <c r="X89" s="12"/>
      <c r="Y89" s="12"/>
      <c r="Z89" s="12"/>
    </row>
    <row r="90" ht="18.75" customHeight="1">
      <c r="A90" s="23" t="s">
        <v>146</v>
      </c>
      <c r="B90" s="29"/>
      <c r="C90" s="30"/>
      <c r="D90" s="30"/>
      <c r="E90" s="30"/>
      <c r="F90" s="32"/>
      <c r="G90" s="24">
        <v>540.0</v>
      </c>
      <c r="H90" s="27">
        <f t="shared" si="19"/>
        <v>12</v>
      </c>
      <c r="I90" s="28">
        <f>G90/I12</f>
        <v>0.1227272727</v>
      </c>
      <c r="J90" s="12"/>
      <c r="K90" s="12"/>
      <c r="L90" s="12"/>
      <c r="M90" s="12"/>
      <c r="N90" s="12"/>
      <c r="O90" s="12"/>
      <c r="P90" s="12"/>
      <c r="Q90" s="12"/>
      <c r="R90" s="12"/>
      <c r="S90" s="12"/>
      <c r="T90" s="12"/>
      <c r="U90" s="12"/>
      <c r="V90" s="12"/>
      <c r="W90" s="12"/>
      <c r="X90" s="12"/>
      <c r="Y90" s="12"/>
      <c r="Z90" s="12"/>
    </row>
    <row r="91" ht="18.75" customHeight="1">
      <c r="A91" s="23" t="s">
        <v>147</v>
      </c>
      <c r="B91" s="29"/>
      <c r="C91" s="30"/>
      <c r="D91" s="30"/>
      <c r="E91" s="30"/>
      <c r="F91" s="32"/>
      <c r="G91" s="24">
        <v>12.0</v>
      </c>
      <c r="H91" s="27">
        <f t="shared" si="19"/>
        <v>0.2666666667</v>
      </c>
      <c r="I91" s="28">
        <f>G91/I12</f>
        <v>0.002727272727</v>
      </c>
      <c r="J91" s="12"/>
      <c r="K91" s="12"/>
      <c r="L91" s="12"/>
      <c r="M91" s="12"/>
      <c r="N91" s="12"/>
      <c r="O91" s="12"/>
      <c r="P91" s="12"/>
      <c r="Q91" s="12"/>
      <c r="R91" s="12"/>
      <c r="S91" s="12"/>
      <c r="T91" s="12"/>
      <c r="U91" s="12"/>
      <c r="V91" s="12"/>
      <c r="W91" s="12"/>
      <c r="X91" s="12"/>
      <c r="Y91" s="12"/>
      <c r="Z91" s="12"/>
    </row>
    <row r="92" ht="18.75" customHeight="1">
      <c r="A92" s="23" t="s">
        <v>148</v>
      </c>
      <c r="B92" s="29"/>
      <c r="C92" s="30"/>
      <c r="D92" s="30"/>
      <c r="E92" s="30"/>
      <c r="F92" s="32"/>
      <c r="G92" s="24">
        <v>3.0</v>
      </c>
      <c r="H92" s="27">
        <f t="shared" si="19"/>
        <v>0.06666666667</v>
      </c>
      <c r="I92" s="28">
        <f>G92/I12</f>
        <v>0.0006818181818</v>
      </c>
      <c r="J92" s="12"/>
      <c r="K92" s="12"/>
      <c r="L92" s="12"/>
      <c r="M92" s="12"/>
      <c r="N92" s="12"/>
      <c r="O92" s="12"/>
      <c r="P92" s="12"/>
      <c r="Q92" s="12"/>
      <c r="R92" s="12"/>
      <c r="S92" s="12"/>
      <c r="T92" s="12"/>
      <c r="U92" s="12"/>
      <c r="V92" s="12"/>
      <c r="W92" s="12"/>
      <c r="X92" s="12"/>
      <c r="Y92" s="12"/>
      <c r="Z92" s="12"/>
    </row>
    <row r="93" ht="18.75" customHeight="1">
      <c r="A93" s="23"/>
      <c r="B93" s="29"/>
      <c r="C93" s="30"/>
      <c r="D93" s="30"/>
      <c r="E93" s="30"/>
      <c r="F93" s="32"/>
      <c r="G93" s="24"/>
      <c r="H93" s="27">
        <f t="shared" si="19"/>
        <v>0</v>
      </c>
      <c r="I93" s="28">
        <f>G93/I12</f>
        <v>0</v>
      </c>
      <c r="J93" s="12"/>
      <c r="K93" s="12"/>
      <c r="L93" s="12"/>
      <c r="M93" s="12"/>
      <c r="N93" s="12"/>
      <c r="O93" s="12"/>
      <c r="P93" s="12"/>
      <c r="Q93" s="12"/>
      <c r="R93" s="12"/>
      <c r="S93" s="12"/>
      <c r="T93" s="12"/>
      <c r="U93" s="12"/>
      <c r="V93" s="12"/>
      <c r="W93" s="12"/>
      <c r="X93" s="12"/>
      <c r="Y93" s="12"/>
      <c r="Z93" s="12"/>
    </row>
    <row r="94" ht="18.75" customHeight="1">
      <c r="A94" s="23" t="s">
        <v>149</v>
      </c>
      <c r="B94" s="29"/>
      <c r="C94" s="30"/>
      <c r="D94" s="30"/>
      <c r="E94" s="30"/>
      <c r="F94" s="32"/>
      <c r="G94" s="24"/>
      <c r="H94" s="27">
        <f t="shared" si="19"/>
        <v>0</v>
      </c>
      <c r="I94" s="28">
        <f>G94/I12</f>
        <v>0</v>
      </c>
      <c r="J94" s="12"/>
      <c r="K94" s="12"/>
      <c r="L94" s="12"/>
      <c r="M94" s="12"/>
      <c r="N94" s="12"/>
      <c r="O94" s="12"/>
      <c r="P94" s="12"/>
      <c r="Q94" s="12"/>
      <c r="R94" s="12"/>
      <c r="S94" s="12"/>
      <c r="T94" s="12"/>
      <c r="U94" s="12"/>
      <c r="V94" s="12"/>
      <c r="W94" s="12"/>
      <c r="X94" s="12"/>
      <c r="Y94" s="12"/>
      <c r="Z94" s="12"/>
    </row>
    <row r="95" ht="18.75" customHeight="1">
      <c r="A95" s="23" t="s">
        <v>150</v>
      </c>
      <c r="B95" s="29"/>
      <c r="C95" s="30"/>
      <c r="D95" s="30"/>
      <c r="E95" s="30"/>
      <c r="F95" s="32"/>
      <c r="G95" s="24">
        <v>100.0</v>
      </c>
      <c r="H95" s="27">
        <f t="shared" si="19"/>
        <v>2.222222222</v>
      </c>
      <c r="I95" s="28">
        <f>G95/I12</f>
        <v>0.02272727273</v>
      </c>
      <c r="J95" s="12"/>
      <c r="K95" s="12"/>
      <c r="L95" s="12"/>
      <c r="M95" s="12"/>
      <c r="N95" s="12"/>
      <c r="O95" s="12"/>
      <c r="P95" s="12"/>
      <c r="Q95" s="12"/>
      <c r="R95" s="12"/>
      <c r="S95" s="12"/>
      <c r="T95" s="12"/>
      <c r="U95" s="12"/>
      <c r="V95" s="12"/>
      <c r="W95" s="12"/>
      <c r="X95" s="12"/>
      <c r="Y95" s="12"/>
      <c r="Z95" s="12"/>
    </row>
    <row r="96" ht="18.75" customHeight="1">
      <c r="A96" s="23"/>
      <c r="B96" s="29"/>
      <c r="C96" s="30"/>
      <c r="D96" s="30"/>
      <c r="E96" s="30"/>
      <c r="F96" s="32"/>
      <c r="G96" s="24"/>
      <c r="H96" s="27">
        <f t="shared" si="19"/>
        <v>0</v>
      </c>
      <c r="I96" s="28">
        <f>G96/I12</f>
        <v>0</v>
      </c>
      <c r="J96" s="12"/>
      <c r="K96" s="12"/>
      <c r="L96" s="12"/>
      <c r="M96" s="12"/>
      <c r="N96" s="12"/>
      <c r="O96" s="12"/>
      <c r="P96" s="12"/>
      <c r="Q96" s="12"/>
      <c r="R96" s="12"/>
      <c r="S96" s="12"/>
      <c r="T96" s="12"/>
      <c r="U96" s="12"/>
      <c r="V96" s="12"/>
      <c r="W96" s="12"/>
      <c r="X96" s="12"/>
      <c r="Y96" s="12"/>
      <c r="Z96" s="12"/>
    </row>
    <row r="97" ht="18.75" customHeight="1">
      <c r="A97" s="40"/>
      <c r="B97" s="29"/>
      <c r="C97" s="30"/>
      <c r="D97" s="30"/>
      <c r="E97" s="30"/>
      <c r="F97" s="32"/>
      <c r="G97" s="24"/>
      <c r="H97" s="27">
        <f t="shared" si="19"/>
        <v>0</v>
      </c>
      <c r="I97" s="28">
        <f>G97/I12</f>
        <v>0</v>
      </c>
      <c r="J97" s="12"/>
      <c r="K97" s="12"/>
      <c r="L97" s="12"/>
      <c r="M97" s="12"/>
      <c r="N97" s="12"/>
      <c r="O97" s="12"/>
      <c r="P97" s="12"/>
      <c r="Q97" s="12"/>
      <c r="R97" s="12"/>
      <c r="S97" s="12"/>
      <c r="T97" s="12"/>
      <c r="U97" s="12"/>
      <c r="V97" s="12"/>
      <c r="W97" s="12"/>
      <c r="X97" s="12"/>
      <c r="Y97" s="12"/>
      <c r="Z97" s="12"/>
    </row>
    <row r="98" ht="18.75" customHeight="1">
      <c r="A98" s="46" t="s">
        <v>151</v>
      </c>
      <c r="B98" s="46"/>
      <c r="C98" s="46"/>
      <c r="D98" s="46"/>
      <c r="E98" s="46"/>
      <c r="F98" s="47"/>
      <c r="G98" s="48">
        <f t="shared" ref="G98:I98" si="20">SUM(G89:G97)</f>
        <v>697</v>
      </c>
      <c r="H98" s="58">
        <f t="shared" si="20"/>
        <v>15.48888889</v>
      </c>
      <c r="I98" s="50">
        <f t="shared" si="20"/>
        <v>0.1584090909</v>
      </c>
      <c r="J98" s="11"/>
      <c r="K98" s="11"/>
      <c r="L98" s="11"/>
      <c r="M98" s="11"/>
      <c r="N98" s="11"/>
      <c r="O98" s="11"/>
      <c r="P98" s="11"/>
      <c r="Q98" s="11"/>
      <c r="R98" s="11"/>
      <c r="S98" s="11"/>
      <c r="T98" s="11"/>
      <c r="U98" s="11"/>
      <c r="V98" s="11"/>
      <c r="W98" s="11"/>
      <c r="X98" s="11"/>
      <c r="Y98" s="11"/>
      <c r="Z98" s="11"/>
    </row>
    <row r="99" ht="18.75" customHeight="1">
      <c r="A99" s="11"/>
      <c r="B99" s="11"/>
      <c r="C99" s="11"/>
      <c r="D99" s="11"/>
      <c r="E99" s="11"/>
      <c r="F99" s="11"/>
      <c r="G99" s="16"/>
      <c r="H99" s="16"/>
      <c r="I99" s="16"/>
      <c r="J99" s="11"/>
      <c r="K99" s="11"/>
      <c r="L99" s="11"/>
      <c r="M99" s="11"/>
      <c r="N99" s="11"/>
      <c r="O99" s="11"/>
      <c r="P99" s="11"/>
      <c r="Q99" s="11"/>
      <c r="R99" s="11"/>
      <c r="S99" s="11"/>
      <c r="T99" s="11"/>
      <c r="U99" s="11"/>
      <c r="V99" s="11"/>
      <c r="W99" s="11"/>
      <c r="X99" s="11"/>
      <c r="Y99" s="11"/>
      <c r="Z99" s="11"/>
    </row>
    <row r="100" ht="18.75" customHeight="1">
      <c r="A100" s="17" t="s">
        <v>42</v>
      </c>
      <c r="B100" s="51"/>
      <c r="C100" s="51"/>
      <c r="D100" s="51"/>
      <c r="E100" s="51"/>
      <c r="F100" s="51"/>
      <c r="G100" s="51"/>
      <c r="H100" s="51"/>
      <c r="I100" s="51"/>
      <c r="J100" s="12"/>
      <c r="K100" s="12"/>
      <c r="L100" s="12"/>
      <c r="M100" s="12"/>
      <c r="N100" s="12"/>
      <c r="O100" s="12"/>
      <c r="P100" s="12"/>
      <c r="Q100" s="12"/>
      <c r="R100" s="12"/>
      <c r="S100" s="12"/>
      <c r="T100" s="12"/>
      <c r="U100" s="12"/>
      <c r="V100" s="12"/>
      <c r="W100" s="12"/>
      <c r="X100" s="12"/>
      <c r="Y100" s="12"/>
      <c r="Z100" s="12"/>
    </row>
    <row r="101" ht="37.5" customHeight="1">
      <c r="A101" s="69" t="s">
        <v>137</v>
      </c>
      <c r="B101" s="55"/>
      <c r="C101" s="55"/>
      <c r="D101" s="55"/>
      <c r="E101" s="57" t="s">
        <v>152</v>
      </c>
      <c r="F101" s="57" t="s">
        <v>153</v>
      </c>
      <c r="G101" s="57" t="s">
        <v>154</v>
      </c>
      <c r="H101" s="20" t="s">
        <v>90</v>
      </c>
      <c r="I101" s="57" t="s">
        <v>91</v>
      </c>
      <c r="J101" s="55"/>
      <c r="K101" s="55"/>
      <c r="L101" s="55"/>
      <c r="M101" s="55"/>
      <c r="N101" s="55"/>
      <c r="O101" s="55"/>
      <c r="P101" s="55"/>
      <c r="Q101" s="55"/>
      <c r="R101" s="55"/>
      <c r="S101" s="55"/>
      <c r="T101" s="55"/>
      <c r="U101" s="55"/>
      <c r="V101" s="55"/>
      <c r="W101" s="55"/>
      <c r="X101" s="55"/>
      <c r="Y101" s="55"/>
      <c r="Z101" s="55"/>
    </row>
    <row r="102" ht="18.75" customHeight="1">
      <c r="A102" s="70" t="s">
        <v>155</v>
      </c>
      <c r="B102" s="30"/>
      <c r="C102" s="30"/>
      <c r="D102" s="32"/>
      <c r="E102" s="24">
        <v>225.0</v>
      </c>
      <c r="F102" s="71">
        <v>1.0</v>
      </c>
      <c r="G102" s="26">
        <f t="shared" ref="G102:G118" si="21">E102*F102</f>
        <v>225</v>
      </c>
      <c r="H102" s="27">
        <f t="shared" ref="H102:H118" si="22">G102/$H$8</f>
        <v>5</v>
      </c>
      <c r="I102" s="28">
        <f>G102/I12</f>
        <v>0.05113636364</v>
      </c>
      <c r="J102" s="12"/>
      <c r="K102" s="12"/>
      <c r="L102" s="12"/>
      <c r="M102" s="12"/>
      <c r="N102" s="12"/>
      <c r="O102" s="12"/>
      <c r="P102" s="12"/>
      <c r="Q102" s="12"/>
      <c r="R102" s="12"/>
      <c r="S102" s="12"/>
      <c r="T102" s="12"/>
      <c r="U102" s="12"/>
      <c r="V102" s="12"/>
      <c r="W102" s="12"/>
      <c r="X102" s="12"/>
      <c r="Y102" s="12"/>
      <c r="Z102" s="12"/>
    </row>
    <row r="103" ht="18.75" customHeight="1">
      <c r="A103" s="70" t="s">
        <v>156</v>
      </c>
      <c r="B103" s="30"/>
      <c r="C103" s="30"/>
      <c r="D103" s="32"/>
      <c r="E103" s="24">
        <v>125.0</v>
      </c>
      <c r="F103" s="71">
        <v>1.0</v>
      </c>
      <c r="G103" s="26">
        <f t="shared" si="21"/>
        <v>125</v>
      </c>
      <c r="H103" s="27">
        <f t="shared" si="22"/>
        <v>2.777777778</v>
      </c>
      <c r="I103" s="28">
        <f>G103/I12</f>
        <v>0.02840909091</v>
      </c>
      <c r="J103" s="12"/>
      <c r="K103" s="12"/>
      <c r="L103" s="12"/>
      <c r="M103" s="12"/>
      <c r="N103" s="12"/>
      <c r="O103" s="12"/>
      <c r="P103" s="12"/>
      <c r="Q103" s="12"/>
      <c r="R103" s="12"/>
      <c r="S103" s="12"/>
      <c r="T103" s="12"/>
      <c r="U103" s="12"/>
      <c r="V103" s="12"/>
      <c r="W103" s="12"/>
      <c r="X103" s="12"/>
      <c r="Y103" s="12"/>
      <c r="Z103" s="12"/>
    </row>
    <row r="104" ht="18.75" customHeight="1">
      <c r="A104" s="70" t="s">
        <v>157</v>
      </c>
      <c r="B104" s="30"/>
      <c r="C104" s="30"/>
      <c r="D104" s="32"/>
      <c r="E104" s="24">
        <v>5400.0</v>
      </c>
      <c r="F104" s="71">
        <v>0.1</v>
      </c>
      <c r="G104" s="26">
        <f t="shared" si="21"/>
        <v>540</v>
      </c>
      <c r="H104" s="27">
        <f t="shared" si="22"/>
        <v>12</v>
      </c>
      <c r="I104" s="28">
        <f>G104/I12</f>
        <v>0.1227272727</v>
      </c>
      <c r="J104" s="12"/>
      <c r="K104" s="12"/>
      <c r="L104" s="12"/>
      <c r="M104" s="12"/>
      <c r="N104" s="12"/>
      <c r="O104" s="12"/>
      <c r="P104" s="12"/>
      <c r="Q104" s="12"/>
      <c r="R104" s="12"/>
      <c r="S104" s="12"/>
      <c r="T104" s="12"/>
      <c r="U104" s="12"/>
      <c r="V104" s="12"/>
      <c r="W104" s="12"/>
      <c r="X104" s="12"/>
      <c r="Y104" s="12"/>
      <c r="Z104" s="12"/>
    </row>
    <row r="105" ht="18.75" customHeight="1">
      <c r="A105" s="70" t="s">
        <v>158</v>
      </c>
      <c r="B105" s="30"/>
      <c r="C105" s="30"/>
      <c r="D105" s="32"/>
      <c r="E105" s="24">
        <v>1620.0</v>
      </c>
      <c r="F105" s="71">
        <v>0.08</v>
      </c>
      <c r="G105" s="26">
        <f t="shared" si="21"/>
        <v>129.6</v>
      </c>
      <c r="H105" s="27">
        <f t="shared" si="22"/>
        <v>2.88</v>
      </c>
      <c r="I105" s="28">
        <f>G105/I12</f>
        <v>0.02945454545</v>
      </c>
      <c r="J105" s="12"/>
      <c r="K105" s="12"/>
      <c r="L105" s="12"/>
      <c r="M105" s="12"/>
      <c r="N105" s="12"/>
      <c r="O105" s="12"/>
      <c r="P105" s="12"/>
      <c r="Q105" s="12"/>
      <c r="R105" s="12"/>
      <c r="S105" s="12"/>
      <c r="T105" s="12"/>
      <c r="U105" s="12"/>
      <c r="V105" s="12"/>
      <c r="W105" s="12"/>
      <c r="X105" s="12"/>
      <c r="Y105" s="12"/>
      <c r="Z105" s="12"/>
    </row>
    <row r="106" ht="18.75" customHeight="1">
      <c r="A106" s="72" t="s">
        <v>159</v>
      </c>
      <c r="B106" s="30"/>
      <c r="C106" s="30"/>
      <c r="D106" s="32"/>
      <c r="E106" s="24">
        <v>4050.0</v>
      </c>
      <c r="F106" s="71">
        <v>0.07</v>
      </c>
      <c r="G106" s="26">
        <f t="shared" si="21"/>
        <v>283.5</v>
      </c>
      <c r="H106" s="27">
        <f t="shared" si="22"/>
        <v>6.3</v>
      </c>
      <c r="I106" s="28">
        <f>G106/I12</f>
        <v>0.06443181818</v>
      </c>
      <c r="J106" s="12"/>
      <c r="K106" s="12"/>
      <c r="L106" s="12"/>
      <c r="M106" s="12"/>
      <c r="N106" s="12"/>
      <c r="O106" s="12"/>
      <c r="P106" s="12"/>
      <c r="Q106" s="12"/>
      <c r="R106" s="12"/>
      <c r="S106" s="12"/>
      <c r="T106" s="12"/>
      <c r="U106" s="12"/>
      <c r="V106" s="12"/>
      <c r="W106" s="12"/>
      <c r="X106" s="12"/>
      <c r="Y106" s="12"/>
      <c r="Z106" s="12"/>
    </row>
    <row r="107" ht="18.75" customHeight="1">
      <c r="A107" s="72" t="s">
        <v>160</v>
      </c>
      <c r="B107" s="30"/>
      <c r="C107" s="30"/>
      <c r="D107" s="32"/>
      <c r="E107" s="24">
        <v>3240.0</v>
      </c>
      <c r="F107" s="71">
        <v>0.1</v>
      </c>
      <c r="G107" s="26">
        <f t="shared" si="21"/>
        <v>324</v>
      </c>
      <c r="H107" s="27">
        <f t="shared" si="22"/>
        <v>7.2</v>
      </c>
      <c r="I107" s="28">
        <f>G107/I12</f>
        <v>0.07363636364</v>
      </c>
      <c r="J107" s="12"/>
      <c r="K107" s="12"/>
      <c r="L107" s="12"/>
      <c r="M107" s="12"/>
      <c r="N107" s="12"/>
      <c r="O107" s="12"/>
      <c r="P107" s="12"/>
      <c r="Q107" s="12"/>
      <c r="R107" s="12"/>
      <c r="S107" s="12"/>
      <c r="T107" s="12"/>
      <c r="U107" s="12"/>
      <c r="V107" s="12"/>
      <c r="W107" s="12"/>
      <c r="X107" s="12"/>
      <c r="Y107" s="12"/>
      <c r="Z107" s="12"/>
    </row>
    <row r="108" ht="18.75" customHeight="1">
      <c r="A108" s="72" t="s">
        <v>161</v>
      </c>
      <c r="B108" s="30"/>
      <c r="C108" s="30"/>
      <c r="D108" s="32"/>
      <c r="E108" s="24"/>
      <c r="F108" s="71"/>
      <c r="G108" s="26">
        <f t="shared" si="21"/>
        <v>0</v>
      </c>
      <c r="H108" s="27">
        <f t="shared" si="22"/>
        <v>0</v>
      </c>
      <c r="I108" s="28">
        <f>G108/I12</f>
        <v>0</v>
      </c>
      <c r="J108" s="12"/>
      <c r="K108" s="12"/>
      <c r="L108" s="12"/>
      <c r="M108" s="12"/>
      <c r="N108" s="12"/>
      <c r="O108" s="12"/>
      <c r="P108" s="12"/>
      <c r="Q108" s="12"/>
      <c r="R108" s="12"/>
      <c r="S108" s="12"/>
      <c r="T108" s="12"/>
      <c r="U108" s="12"/>
      <c r="V108" s="12"/>
      <c r="W108" s="12"/>
      <c r="X108" s="12"/>
      <c r="Y108" s="12"/>
      <c r="Z108" s="12"/>
    </row>
    <row r="109" ht="18.75" customHeight="1">
      <c r="A109" s="72" t="s">
        <v>162</v>
      </c>
      <c r="B109" s="30"/>
      <c r="C109" s="30"/>
      <c r="D109" s="32"/>
      <c r="E109" s="24"/>
      <c r="F109" s="71"/>
      <c r="G109" s="26">
        <f t="shared" si="21"/>
        <v>0</v>
      </c>
      <c r="H109" s="27">
        <f t="shared" si="22"/>
        <v>0</v>
      </c>
      <c r="I109" s="28">
        <f>G109/I12</f>
        <v>0</v>
      </c>
      <c r="J109" s="12"/>
      <c r="K109" s="12"/>
      <c r="L109" s="12"/>
      <c r="M109" s="12"/>
      <c r="N109" s="12"/>
      <c r="O109" s="12"/>
      <c r="P109" s="12"/>
      <c r="Q109" s="12"/>
      <c r="R109" s="12"/>
      <c r="S109" s="12"/>
      <c r="T109" s="12"/>
      <c r="U109" s="12"/>
      <c r="V109" s="12"/>
      <c r="W109" s="12"/>
      <c r="X109" s="12"/>
      <c r="Y109" s="12"/>
      <c r="Z109" s="12"/>
    </row>
    <row r="110" ht="18.75" customHeight="1">
      <c r="A110" s="70" t="s">
        <v>163</v>
      </c>
      <c r="B110" s="30"/>
      <c r="C110" s="30"/>
      <c r="D110" s="32"/>
      <c r="E110" s="24"/>
      <c r="F110" s="71"/>
      <c r="G110" s="26">
        <f t="shared" si="21"/>
        <v>0</v>
      </c>
      <c r="H110" s="27">
        <f t="shared" si="22"/>
        <v>0</v>
      </c>
      <c r="I110" s="28">
        <f>G110/I12</f>
        <v>0</v>
      </c>
      <c r="J110" s="12"/>
      <c r="K110" s="12"/>
      <c r="L110" s="12"/>
      <c r="M110" s="12"/>
      <c r="N110" s="12"/>
      <c r="O110" s="12"/>
      <c r="P110" s="12"/>
      <c r="Q110" s="12"/>
      <c r="R110" s="12"/>
      <c r="S110" s="12"/>
      <c r="T110" s="12"/>
      <c r="U110" s="12"/>
      <c r="V110" s="12"/>
      <c r="W110" s="12"/>
      <c r="X110" s="12"/>
      <c r="Y110" s="12"/>
      <c r="Z110" s="12"/>
    </row>
    <row r="111" ht="18.75" customHeight="1">
      <c r="A111" s="70" t="s">
        <v>164</v>
      </c>
      <c r="B111" s="30"/>
      <c r="C111" s="30"/>
      <c r="D111" s="32"/>
      <c r="E111" s="24"/>
      <c r="F111" s="71"/>
      <c r="G111" s="26">
        <f t="shared" si="21"/>
        <v>0</v>
      </c>
      <c r="H111" s="27">
        <f t="shared" si="22"/>
        <v>0</v>
      </c>
      <c r="I111" s="28">
        <f>G111/I12</f>
        <v>0</v>
      </c>
      <c r="J111" s="12"/>
      <c r="K111" s="12"/>
      <c r="L111" s="12"/>
      <c r="M111" s="12"/>
      <c r="N111" s="12"/>
      <c r="O111" s="12"/>
      <c r="P111" s="12"/>
      <c r="Q111" s="12"/>
      <c r="R111" s="12"/>
      <c r="S111" s="12"/>
      <c r="T111" s="12"/>
      <c r="U111" s="12"/>
      <c r="V111" s="12"/>
      <c r="W111" s="12"/>
      <c r="X111" s="12"/>
      <c r="Y111" s="12"/>
      <c r="Z111" s="12"/>
    </row>
    <row r="112" ht="18.75" customHeight="1">
      <c r="A112" s="70" t="s">
        <v>165</v>
      </c>
      <c r="B112" s="30"/>
      <c r="C112" s="30"/>
      <c r="D112" s="32"/>
      <c r="E112" s="24"/>
      <c r="F112" s="71"/>
      <c r="G112" s="26">
        <f t="shared" si="21"/>
        <v>0</v>
      </c>
      <c r="H112" s="27">
        <f t="shared" si="22"/>
        <v>0</v>
      </c>
      <c r="I112" s="28">
        <f>G112/I12</f>
        <v>0</v>
      </c>
      <c r="J112" s="12"/>
      <c r="K112" s="12"/>
      <c r="L112" s="12"/>
      <c r="M112" s="12"/>
      <c r="N112" s="12"/>
      <c r="O112" s="12"/>
      <c r="P112" s="12"/>
      <c r="Q112" s="12"/>
      <c r="R112" s="12"/>
      <c r="S112" s="12"/>
      <c r="T112" s="12"/>
      <c r="U112" s="12"/>
      <c r="V112" s="12"/>
      <c r="W112" s="12"/>
      <c r="X112" s="12"/>
      <c r="Y112" s="12"/>
      <c r="Z112" s="12"/>
    </row>
    <row r="113" ht="18.75" customHeight="1">
      <c r="A113" s="73" t="s">
        <v>166</v>
      </c>
      <c r="B113" s="30"/>
      <c r="C113" s="30"/>
      <c r="D113" s="32"/>
      <c r="E113" s="24"/>
      <c r="F113" s="71"/>
      <c r="G113" s="26">
        <f t="shared" si="21"/>
        <v>0</v>
      </c>
      <c r="H113" s="27">
        <f t="shared" si="22"/>
        <v>0</v>
      </c>
      <c r="I113" s="28">
        <f t="shared" ref="I113:I118" si="23">G113/$I$12</f>
        <v>0</v>
      </c>
      <c r="J113" s="12"/>
      <c r="K113" s="12"/>
      <c r="L113" s="12"/>
      <c r="M113" s="12"/>
      <c r="N113" s="12"/>
      <c r="O113" s="12"/>
      <c r="P113" s="12"/>
      <c r="Q113" s="12"/>
      <c r="R113" s="12"/>
      <c r="S113" s="12"/>
      <c r="T113" s="12"/>
      <c r="U113" s="12"/>
      <c r="V113" s="12"/>
      <c r="W113" s="12"/>
      <c r="X113" s="12"/>
      <c r="Y113" s="12"/>
      <c r="Z113" s="12"/>
    </row>
    <row r="114" ht="18.75" customHeight="1">
      <c r="A114" s="69" t="s">
        <v>167</v>
      </c>
      <c r="B114" s="30"/>
      <c r="C114" s="30"/>
      <c r="D114" s="32"/>
      <c r="E114" s="24"/>
      <c r="F114" s="71"/>
      <c r="G114" s="26">
        <f t="shared" si="21"/>
        <v>0</v>
      </c>
      <c r="H114" s="27">
        <f t="shared" si="22"/>
        <v>0</v>
      </c>
      <c r="I114" s="28">
        <f t="shared" si="23"/>
        <v>0</v>
      </c>
      <c r="J114" s="12"/>
      <c r="K114" s="12"/>
      <c r="L114" s="12"/>
      <c r="M114" s="12"/>
      <c r="N114" s="12"/>
      <c r="O114" s="12"/>
      <c r="P114" s="12"/>
      <c r="Q114" s="12"/>
      <c r="R114" s="12"/>
      <c r="S114" s="12"/>
      <c r="T114" s="12"/>
      <c r="U114" s="12"/>
      <c r="V114" s="12"/>
      <c r="W114" s="12"/>
      <c r="X114" s="12"/>
      <c r="Y114" s="12"/>
      <c r="Z114" s="12"/>
    </row>
    <row r="115" ht="18.75" customHeight="1">
      <c r="A115" s="74"/>
      <c r="B115" s="75"/>
      <c r="C115" s="75"/>
      <c r="D115" s="76"/>
      <c r="E115" s="24"/>
      <c r="F115" s="71"/>
      <c r="G115" s="26">
        <f t="shared" si="21"/>
        <v>0</v>
      </c>
      <c r="H115" s="27">
        <f t="shared" si="22"/>
        <v>0</v>
      </c>
      <c r="I115" s="28">
        <f t="shared" si="23"/>
        <v>0</v>
      </c>
      <c r="J115" s="12"/>
      <c r="K115" s="12"/>
      <c r="L115" s="12"/>
      <c r="M115" s="12"/>
      <c r="N115" s="12"/>
      <c r="O115" s="12"/>
      <c r="P115" s="12"/>
      <c r="Q115" s="12"/>
      <c r="R115" s="12"/>
      <c r="S115" s="12"/>
      <c r="T115" s="12"/>
      <c r="U115" s="12"/>
      <c r="V115" s="12"/>
      <c r="W115" s="12"/>
      <c r="X115" s="12"/>
      <c r="Y115" s="12"/>
      <c r="Z115" s="12"/>
    </row>
    <row r="116" ht="18.75" customHeight="1">
      <c r="A116" s="74"/>
      <c r="B116" s="75"/>
      <c r="C116" s="75"/>
      <c r="D116" s="76"/>
      <c r="E116" s="24"/>
      <c r="F116" s="71"/>
      <c r="G116" s="26">
        <f t="shared" si="21"/>
        <v>0</v>
      </c>
      <c r="H116" s="27">
        <f t="shared" si="22"/>
        <v>0</v>
      </c>
      <c r="I116" s="28">
        <f t="shared" si="23"/>
        <v>0</v>
      </c>
      <c r="J116" s="12"/>
      <c r="K116" s="12"/>
      <c r="L116" s="12"/>
      <c r="M116" s="12"/>
      <c r="N116" s="12"/>
      <c r="O116" s="12"/>
      <c r="P116" s="12"/>
      <c r="Q116" s="12"/>
      <c r="R116" s="12"/>
      <c r="S116" s="12"/>
      <c r="T116" s="12"/>
      <c r="U116" s="12"/>
      <c r="V116" s="12"/>
      <c r="W116" s="12"/>
      <c r="X116" s="12"/>
      <c r="Y116" s="12"/>
      <c r="Z116" s="12"/>
    </row>
    <row r="117" ht="18.75" customHeight="1">
      <c r="A117" s="74"/>
      <c r="B117" s="75"/>
      <c r="C117" s="75"/>
      <c r="D117" s="76"/>
      <c r="E117" s="24"/>
      <c r="F117" s="71"/>
      <c r="G117" s="26">
        <f t="shared" si="21"/>
        <v>0</v>
      </c>
      <c r="H117" s="27">
        <f t="shared" si="22"/>
        <v>0</v>
      </c>
      <c r="I117" s="28">
        <f t="shared" si="23"/>
        <v>0</v>
      </c>
      <c r="J117" s="12"/>
      <c r="K117" s="12"/>
      <c r="L117" s="12"/>
      <c r="M117" s="12"/>
      <c r="N117" s="12"/>
      <c r="O117" s="12"/>
      <c r="P117" s="12"/>
      <c r="Q117" s="12"/>
      <c r="R117" s="12"/>
      <c r="S117" s="12"/>
      <c r="T117" s="12"/>
      <c r="U117" s="12"/>
      <c r="V117" s="12"/>
      <c r="W117" s="12"/>
      <c r="X117" s="12"/>
      <c r="Y117" s="12"/>
      <c r="Z117" s="12"/>
    </row>
    <row r="118" ht="18.75" customHeight="1">
      <c r="A118" s="77"/>
      <c r="B118" s="78"/>
      <c r="C118" s="78"/>
      <c r="D118" s="79"/>
      <c r="E118" s="45"/>
      <c r="F118" s="80"/>
      <c r="G118" s="26">
        <f t="shared" si="21"/>
        <v>0</v>
      </c>
      <c r="H118" s="27">
        <f t="shared" si="22"/>
        <v>0</v>
      </c>
      <c r="I118" s="28">
        <f t="shared" si="23"/>
        <v>0</v>
      </c>
      <c r="J118" s="12"/>
      <c r="K118" s="12"/>
      <c r="L118" s="12"/>
      <c r="M118" s="12"/>
      <c r="N118" s="12"/>
      <c r="O118" s="12"/>
      <c r="P118" s="12"/>
      <c r="Q118" s="12"/>
      <c r="R118" s="12"/>
      <c r="S118" s="12"/>
      <c r="T118" s="12"/>
      <c r="U118" s="12"/>
      <c r="V118" s="12"/>
      <c r="W118" s="12"/>
      <c r="X118" s="12"/>
      <c r="Y118" s="12"/>
      <c r="Z118" s="12"/>
    </row>
    <row r="119" ht="18.75" customHeight="1">
      <c r="A119" s="81" t="s">
        <v>168</v>
      </c>
      <c r="B119" s="30"/>
      <c r="C119" s="30"/>
      <c r="D119" s="30"/>
      <c r="E119" s="30"/>
      <c r="F119" s="32"/>
      <c r="G119" s="48">
        <f t="shared" ref="G119:I119" si="24">SUM(G102:G118)</f>
        <v>1627.1</v>
      </c>
      <c r="H119" s="58">
        <f t="shared" si="24"/>
        <v>36.15777778</v>
      </c>
      <c r="I119" s="50">
        <f t="shared" si="24"/>
        <v>0.3697954545</v>
      </c>
      <c r="J119" s="12"/>
      <c r="K119" s="12"/>
      <c r="L119" s="12"/>
      <c r="M119" s="12"/>
      <c r="N119" s="12"/>
      <c r="O119" s="12"/>
      <c r="P119" s="12"/>
      <c r="Q119" s="12"/>
      <c r="R119" s="12"/>
      <c r="S119" s="12"/>
      <c r="T119" s="12"/>
      <c r="U119" s="12"/>
      <c r="V119" s="12"/>
      <c r="W119" s="12"/>
      <c r="X119" s="12"/>
      <c r="Y119" s="12"/>
      <c r="Z119" s="12"/>
    </row>
    <row r="120" ht="18.75" customHeight="1">
      <c r="A120" s="82"/>
      <c r="B120" s="12"/>
      <c r="C120" s="12"/>
      <c r="D120" s="12"/>
      <c r="E120" s="12"/>
      <c r="F120" s="12"/>
      <c r="G120" s="16"/>
      <c r="H120" s="16"/>
      <c r="I120" s="16"/>
      <c r="J120" s="12"/>
      <c r="K120" s="12"/>
      <c r="L120" s="12"/>
      <c r="M120" s="12"/>
      <c r="N120" s="12"/>
      <c r="O120" s="12"/>
      <c r="P120" s="12"/>
      <c r="Q120" s="12"/>
      <c r="R120" s="12"/>
      <c r="S120" s="12"/>
      <c r="T120" s="12"/>
      <c r="U120" s="12"/>
      <c r="V120" s="12"/>
      <c r="W120" s="12"/>
      <c r="X120" s="12"/>
      <c r="Y120" s="12"/>
      <c r="Z120" s="12"/>
    </row>
    <row r="121" ht="18.75" customHeight="1">
      <c r="A121" s="17" t="s">
        <v>45</v>
      </c>
      <c r="B121" s="83"/>
      <c r="C121" s="83"/>
      <c r="D121" s="83"/>
      <c r="E121" s="83"/>
      <c r="F121" s="83"/>
      <c r="G121" s="84"/>
      <c r="H121" s="84"/>
      <c r="I121" s="84"/>
      <c r="J121" s="12"/>
      <c r="K121" s="12"/>
      <c r="L121" s="12"/>
      <c r="M121" s="12"/>
      <c r="N121" s="12"/>
      <c r="O121" s="12"/>
      <c r="P121" s="12"/>
      <c r="Q121" s="12"/>
      <c r="R121" s="12"/>
      <c r="S121" s="12"/>
      <c r="T121" s="12"/>
      <c r="U121" s="12"/>
      <c r="V121" s="12"/>
      <c r="W121" s="12"/>
      <c r="X121" s="12"/>
      <c r="Y121" s="12"/>
      <c r="Z121" s="12"/>
    </row>
    <row r="122" ht="18.75" customHeight="1">
      <c r="A122" s="82" t="s">
        <v>169</v>
      </c>
      <c r="B122" s="12"/>
      <c r="C122" s="12"/>
      <c r="D122" s="12"/>
      <c r="E122" s="12"/>
      <c r="F122" s="12"/>
      <c r="G122" s="48">
        <f t="shared" ref="G122:H122" si="25">G42+G56+G65+G84+G98+G119</f>
        <v>12796.3</v>
      </c>
      <c r="H122" s="58">
        <f t="shared" si="25"/>
        <v>284.3622222</v>
      </c>
      <c r="I122" s="85">
        <f>I42+I56++I65+I84+I98+I119</f>
        <v>2.90825</v>
      </c>
      <c r="J122" s="12"/>
      <c r="K122" s="12"/>
      <c r="L122" s="12"/>
      <c r="M122" s="12"/>
      <c r="N122" s="12"/>
      <c r="O122" s="12"/>
      <c r="P122" s="12"/>
      <c r="Q122" s="12"/>
      <c r="R122" s="12"/>
      <c r="S122" s="12"/>
      <c r="T122" s="12"/>
      <c r="U122" s="12"/>
      <c r="V122" s="12"/>
      <c r="W122" s="12"/>
      <c r="X122" s="12"/>
      <c r="Y122" s="12"/>
      <c r="Z122" s="12"/>
    </row>
    <row r="123" ht="18.75" customHeight="1">
      <c r="A123" s="82" t="s">
        <v>170</v>
      </c>
      <c r="B123" s="12"/>
      <c r="C123" s="12"/>
      <c r="D123" s="12"/>
      <c r="E123" s="12" t="s">
        <v>171</v>
      </c>
      <c r="F123" s="86">
        <v>0.02</v>
      </c>
      <c r="G123" s="48">
        <f t="shared" ref="G123:I123" si="26">(G122*$F$123)*0.5</f>
        <v>127.963</v>
      </c>
      <c r="H123" s="87">
        <f t="shared" si="26"/>
        <v>2.843622222</v>
      </c>
      <c r="I123" s="88">
        <f t="shared" si="26"/>
        <v>0.0290825</v>
      </c>
      <c r="J123" s="12"/>
      <c r="K123" s="12"/>
      <c r="L123" s="12"/>
      <c r="M123" s="12"/>
      <c r="N123" s="12"/>
      <c r="O123" s="12"/>
      <c r="P123" s="12"/>
      <c r="Q123" s="12"/>
      <c r="R123" s="12"/>
      <c r="S123" s="12"/>
      <c r="T123" s="12"/>
      <c r="U123" s="12"/>
      <c r="V123" s="12"/>
      <c r="W123" s="12"/>
      <c r="X123" s="12"/>
      <c r="Y123" s="12"/>
      <c r="Z123" s="12"/>
    </row>
    <row r="124" ht="18.75" customHeight="1">
      <c r="A124" s="82"/>
      <c r="B124" s="89" t="s">
        <v>172</v>
      </c>
      <c r="C124" s="89"/>
      <c r="D124" s="89"/>
      <c r="E124" s="89"/>
      <c r="F124" s="89"/>
      <c r="G124" s="60"/>
      <c r="H124" s="60"/>
      <c r="I124" s="16"/>
      <c r="J124" s="12"/>
      <c r="K124" s="12"/>
      <c r="L124" s="12"/>
      <c r="M124" s="12"/>
      <c r="N124" s="12"/>
      <c r="O124" s="12"/>
      <c r="P124" s="12"/>
      <c r="Q124" s="12"/>
      <c r="R124" s="12"/>
      <c r="S124" s="12"/>
      <c r="T124" s="12"/>
      <c r="U124" s="12"/>
      <c r="V124" s="12"/>
      <c r="W124" s="12"/>
      <c r="X124" s="12"/>
      <c r="Y124" s="12"/>
      <c r="Z124" s="12"/>
    </row>
    <row r="125" ht="18.75" customHeight="1">
      <c r="A125" s="17" t="s">
        <v>173</v>
      </c>
      <c r="B125" s="51"/>
      <c r="C125" s="51"/>
      <c r="D125" s="51"/>
      <c r="E125" s="51"/>
      <c r="F125" s="51"/>
      <c r="G125" s="19"/>
      <c r="H125" s="19"/>
      <c r="I125" s="19"/>
      <c r="J125" s="12"/>
      <c r="K125" s="12"/>
      <c r="L125" s="12"/>
      <c r="M125" s="12"/>
      <c r="N125" s="12"/>
      <c r="O125" s="12"/>
      <c r="P125" s="12"/>
      <c r="Q125" s="12"/>
      <c r="R125" s="12"/>
      <c r="S125" s="12"/>
      <c r="T125" s="12"/>
      <c r="U125" s="12"/>
      <c r="V125" s="12"/>
      <c r="W125" s="12"/>
      <c r="X125" s="12"/>
      <c r="Y125" s="12"/>
      <c r="Z125" s="12"/>
    </row>
    <row r="126" ht="18.75" customHeight="1">
      <c r="A126" s="82"/>
      <c r="B126" s="12"/>
      <c r="C126" s="12"/>
      <c r="D126" s="12"/>
      <c r="E126" s="12"/>
      <c r="F126" s="12"/>
      <c r="G126" s="16"/>
      <c r="H126" s="16"/>
      <c r="I126" s="16"/>
      <c r="J126" s="12"/>
      <c r="K126" s="12"/>
      <c r="L126" s="12"/>
      <c r="M126" s="12"/>
      <c r="N126" s="12"/>
      <c r="O126" s="12"/>
      <c r="P126" s="12"/>
      <c r="Q126" s="12"/>
      <c r="R126" s="12"/>
      <c r="S126" s="12"/>
      <c r="T126" s="12"/>
      <c r="U126" s="12"/>
      <c r="V126" s="12"/>
      <c r="W126" s="12"/>
      <c r="X126" s="12"/>
      <c r="Y126" s="12"/>
      <c r="Z126" s="12"/>
    </row>
    <row r="127" ht="18.75" customHeight="1">
      <c r="A127" s="17" t="s">
        <v>174</v>
      </c>
      <c r="B127" s="51"/>
      <c r="C127" s="51"/>
      <c r="D127" s="51"/>
      <c r="E127" s="51"/>
      <c r="F127" s="51"/>
      <c r="G127" s="19"/>
      <c r="H127" s="19"/>
      <c r="I127" s="19"/>
      <c r="J127" s="12"/>
      <c r="K127" s="12"/>
      <c r="L127" s="12"/>
      <c r="M127" s="12"/>
      <c r="N127" s="12"/>
      <c r="O127" s="12"/>
      <c r="P127" s="12"/>
      <c r="Q127" s="12"/>
      <c r="R127" s="12"/>
      <c r="S127" s="12"/>
      <c r="T127" s="12"/>
      <c r="U127" s="12"/>
      <c r="V127" s="12"/>
      <c r="W127" s="12"/>
      <c r="X127" s="12"/>
      <c r="Y127" s="12"/>
      <c r="Z127" s="12"/>
    </row>
    <row r="128" ht="18.75" customHeight="1">
      <c r="B128" s="89" t="s">
        <v>175</v>
      </c>
      <c r="C128" s="10"/>
      <c r="D128" s="89"/>
      <c r="E128" s="59"/>
      <c r="F128" s="90"/>
      <c r="G128" s="89"/>
      <c r="H128" s="60"/>
      <c r="I128" s="16"/>
      <c r="J128" s="12"/>
      <c r="K128" s="12"/>
      <c r="L128" s="12"/>
      <c r="M128" s="12"/>
      <c r="N128" s="12"/>
      <c r="O128" s="12"/>
      <c r="P128" s="12"/>
      <c r="Q128" s="12"/>
      <c r="R128" s="12"/>
      <c r="S128" s="12"/>
      <c r="T128" s="12"/>
      <c r="U128" s="12"/>
      <c r="V128" s="12"/>
      <c r="W128" s="12"/>
      <c r="X128" s="12"/>
      <c r="Y128" s="12"/>
      <c r="Z128" s="12"/>
    </row>
    <row r="129" ht="36.0" customHeight="1">
      <c r="A129" s="91"/>
      <c r="B129" s="55"/>
      <c r="C129" s="55"/>
      <c r="D129" s="55"/>
      <c r="E129" s="57" t="s">
        <v>176</v>
      </c>
      <c r="F129" s="57" t="s">
        <v>177</v>
      </c>
      <c r="G129" s="92" t="s">
        <v>178</v>
      </c>
      <c r="H129" s="92" t="s">
        <v>90</v>
      </c>
      <c r="I129" s="92" t="s">
        <v>91</v>
      </c>
      <c r="J129" s="55"/>
      <c r="K129" s="55"/>
      <c r="L129" s="55"/>
      <c r="M129" s="55"/>
      <c r="N129" s="55"/>
      <c r="O129" s="55"/>
      <c r="P129" s="55"/>
      <c r="Q129" s="55"/>
      <c r="R129" s="55"/>
      <c r="S129" s="55"/>
      <c r="T129" s="55"/>
      <c r="U129" s="55"/>
      <c r="V129" s="55"/>
      <c r="W129" s="55"/>
      <c r="X129" s="55"/>
      <c r="Y129" s="55"/>
      <c r="Z129" s="55"/>
    </row>
    <row r="130" ht="18.75" customHeight="1">
      <c r="A130" s="82" t="s">
        <v>179</v>
      </c>
      <c r="B130" s="12"/>
      <c r="C130" s="12"/>
      <c r="D130" s="12"/>
      <c r="E130" s="93">
        <v>5.0</v>
      </c>
      <c r="F130" s="94">
        <v>300.0</v>
      </c>
      <c r="G130" s="95">
        <f t="shared" ref="G130:G134" si="27">E130*F130</f>
        <v>1500</v>
      </c>
      <c r="H130" s="16"/>
      <c r="I130" s="16"/>
      <c r="J130" s="12"/>
      <c r="K130" s="12"/>
      <c r="L130" s="12"/>
      <c r="M130" s="12"/>
      <c r="N130" s="12"/>
      <c r="O130" s="12"/>
      <c r="P130" s="12"/>
      <c r="Q130" s="12"/>
      <c r="R130" s="12"/>
      <c r="S130" s="12"/>
      <c r="T130" s="12"/>
      <c r="U130" s="12"/>
      <c r="V130" s="12"/>
      <c r="W130" s="12"/>
      <c r="X130" s="12"/>
      <c r="Y130" s="12"/>
      <c r="Z130" s="12"/>
    </row>
    <row r="131" ht="18.75" customHeight="1">
      <c r="A131" s="82" t="s">
        <v>180</v>
      </c>
      <c r="B131" s="12"/>
      <c r="C131" s="12"/>
      <c r="D131" s="12"/>
      <c r="E131" s="93">
        <v>5.0</v>
      </c>
      <c r="F131" s="94">
        <v>300.0</v>
      </c>
      <c r="G131" s="95">
        <f t="shared" si="27"/>
        <v>1500</v>
      </c>
      <c r="H131" s="16"/>
      <c r="I131" s="16"/>
      <c r="J131" s="12"/>
      <c r="K131" s="12"/>
      <c r="L131" s="12"/>
      <c r="M131" s="12"/>
      <c r="N131" s="12"/>
      <c r="O131" s="12"/>
      <c r="P131" s="12"/>
      <c r="Q131" s="12"/>
      <c r="R131" s="12"/>
      <c r="S131" s="12"/>
      <c r="T131" s="12"/>
      <c r="U131" s="12"/>
      <c r="V131" s="12"/>
      <c r="W131" s="12"/>
      <c r="X131" s="12"/>
      <c r="Y131" s="12"/>
      <c r="Z131" s="12"/>
    </row>
    <row r="132" ht="18.75" customHeight="1">
      <c r="A132" s="82" t="s">
        <v>181</v>
      </c>
      <c r="B132" s="12"/>
      <c r="C132" s="12"/>
      <c r="D132" s="12"/>
      <c r="E132" s="23">
        <v>17.0</v>
      </c>
      <c r="F132" s="96">
        <v>250.0</v>
      </c>
      <c r="G132" s="26">
        <f t="shared" si="27"/>
        <v>4250</v>
      </c>
      <c r="H132" s="16"/>
      <c r="I132" s="16"/>
      <c r="J132" s="12"/>
      <c r="K132" s="12"/>
      <c r="L132" s="12"/>
      <c r="M132" s="12"/>
      <c r="N132" s="12"/>
      <c r="O132" s="12"/>
      <c r="P132" s="12"/>
      <c r="Q132" s="12"/>
      <c r="R132" s="12"/>
      <c r="S132" s="12"/>
      <c r="T132" s="12"/>
      <c r="U132" s="12"/>
      <c r="V132" s="12"/>
      <c r="W132" s="12"/>
      <c r="X132" s="12"/>
      <c r="Y132" s="12"/>
      <c r="Z132" s="12"/>
    </row>
    <row r="133" ht="18.75" customHeight="1">
      <c r="A133" s="82" t="s">
        <v>182</v>
      </c>
      <c r="B133" s="12"/>
      <c r="C133" s="12"/>
      <c r="D133" s="12"/>
      <c r="E133" s="23">
        <v>17.0</v>
      </c>
      <c r="F133" s="96">
        <v>200.0</v>
      </c>
      <c r="G133" s="26">
        <f t="shared" si="27"/>
        <v>3400</v>
      </c>
      <c r="H133" s="16"/>
      <c r="I133" s="16"/>
      <c r="J133" s="12"/>
      <c r="K133" s="12"/>
      <c r="L133" s="12"/>
      <c r="M133" s="12"/>
      <c r="N133" s="12"/>
      <c r="O133" s="12"/>
      <c r="P133" s="12"/>
      <c r="Q133" s="12"/>
      <c r="R133" s="12"/>
      <c r="S133" s="12"/>
      <c r="T133" s="12"/>
      <c r="U133" s="12"/>
      <c r="V133" s="12"/>
      <c r="W133" s="12"/>
      <c r="X133" s="12"/>
      <c r="Y133" s="12"/>
      <c r="Z133" s="12"/>
    </row>
    <row r="134" ht="18.75" customHeight="1">
      <c r="A134" s="82" t="s">
        <v>183</v>
      </c>
      <c r="B134" s="12"/>
      <c r="C134" s="12"/>
      <c r="D134" s="12"/>
      <c r="E134" s="23">
        <v>4.0</v>
      </c>
      <c r="F134" s="96">
        <v>125.0</v>
      </c>
      <c r="G134" s="26">
        <f t="shared" si="27"/>
        <v>500</v>
      </c>
      <c r="H134" s="16"/>
      <c r="I134" s="16"/>
      <c r="J134" s="12"/>
      <c r="K134" s="12"/>
      <c r="L134" s="12"/>
      <c r="M134" s="12"/>
      <c r="N134" s="12"/>
      <c r="O134" s="12"/>
      <c r="P134" s="12"/>
      <c r="Q134" s="12"/>
      <c r="R134" s="12"/>
      <c r="S134" s="12"/>
      <c r="T134" s="12"/>
      <c r="U134" s="12"/>
      <c r="V134" s="12"/>
      <c r="W134" s="12"/>
      <c r="X134" s="12"/>
      <c r="Y134" s="12"/>
      <c r="Z134" s="12"/>
    </row>
    <row r="135" ht="18.75" customHeight="1">
      <c r="A135" s="11" t="s">
        <v>184</v>
      </c>
      <c r="B135" s="12"/>
      <c r="C135" s="12"/>
      <c r="D135" s="12"/>
      <c r="E135" s="97">
        <f>SUM(E130:E134)</f>
        <v>48</v>
      </c>
      <c r="F135" s="98"/>
      <c r="G135" s="48">
        <f>SUM(G130:G134)</f>
        <v>11150</v>
      </c>
      <c r="H135" s="16"/>
      <c r="I135" s="13"/>
      <c r="J135" s="12"/>
      <c r="K135" s="12"/>
      <c r="L135" s="12"/>
      <c r="M135" s="12"/>
      <c r="N135" s="12"/>
      <c r="O135" s="12"/>
      <c r="P135" s="12"/>
      <c r="Q135" s="12"/>
      <c r="R135" s="12"/>
      <c r="S135" s="12"/>
      <c r="T135" s="12"/>
      <c r="U135" s="12"/>
      <c r="V135" s="12"/>
      <c r="W135" s="12"/>
      <c r="X135" s="12"/>
      <c r="Y135" s="12"/>
      <c r="Z135" s="12"/>
    </row>
    <row r="136" ht="18.75" customHeight="1">
      <c r="A136" s="11" t="s">
        <v>185</v>
      </c>
      <c r="B136" s="12"/>
      <c r="C136" s="12"/>
      <c r="D136" s="12"/>
      <c r="E136" s="12"/>
      <c r="F136" s="48">
        <f>G135/E135</f>
        <v>232.2916667</v>
      </c>
      <c r="G136" s="16"/>
      <c r="H136" s="16"/>
      <c r="I136" s="13"/>
      <c r="J136" s="12"/>
      <c r="K136" s="12"/>
      <c r="L136" s="12"/>
      <c r="M136" s="12"/>
      <c r="N136" s="12"/>
      <c r="O136" s="12"/>
      <c r="P136" s="12"/>
      <c r="Q136" s="12"/>
      <c r="R136" s="12"/>
      <c r="S136" s="12"/>
      <c r="T136" s="12"/>
      <c r="U136" s="12"/>
      <c r="V136" s="12"/>
      <c r="W136" s="12"/>
      <c r="X136" s="12"/>
      <c r="Y136" s="12"/>
      <c r="Z136" s="12"/>
    </row>
    <row r="137" ht="18.75" customHeight="1">
      <c r="A137" s="82" t="s">
        <v>186</v>
      </c>
      <c r="B137" s="12"/>
      <c r="C137" s="12"/>
      <c r="D137" s="11" t="s">
        <v>171</v>
      </c>
      <c r="E137" s="86">
        <v>0.01</v>
      </c>
      <c r="F137" s="12"/>
      <c r="G137" s="48">
        <f>G135*E137</f>
        <v>111.5</v>
      </c>
      <c r="H137" s="58">
        <f>G137/$H$8</f>
        <v>2.477777778</v>
      </c>
      <c r="I137" s="50">
        <f>G137/($I$12)</f>
        <v>0.02534090909</v>
      </c>
      <c r="J137" s="12"/>
      <c r="K137" s="12"/>
      <c r="L137" s="12"/>
      <c r="M137" s="12"/>
      <c r="N137" s="12"/>
      <c r="O137" s="12"/>
      <c r="P137" s="12"/>
      <c r="Q137" s="12"/>
      <c r="R137" s="12"/>
      <c r="S137" s="12"/>
      <c r="T137" s="12"/>
      <c r="U137" s="12"/>
      <c r="V137" s="12"/>
      <c r="W137" s="12"/>
      <c r="X137" s="12"/>
      <c r="Y137" s="12"/>
      <c r="Z137" s="12"/>
    </row>
    <row r="138" ht="18.75" customHeight="1">
      <c r="A138" s="82"/>
      <c r="I138" s="16"/>
      <c r="J138" s="12"/>
      <c r="K138" s="12"/>
      <c r="L138" s="12"/>
      <c r="M138" s="12"/>
      <c r="N138" s="12"/>
      <c r="O138" s="12"/>
      <c r="P138" s="12"/>
      <c r="Q138" s="12"/>
      <c r="R138" s="12"/>
      <c r="S138" s="12"/>
      <c r="T138" s="12"/>
      <c r="U138" s="12"/>
      <c r="V138" s="12"/>
      <c r="W138" s="12"/>
      <c r="X138" s="12"/>
      <c r="Y138" s="12"/>
      <c r="Z138" s="12"/>
    </row>
    <row r="139" ht="18.75" customHeight="1">
      <c r="A139" s="17" t="s">
        <v>187</v>
      </c>
      <c r="B139" s="51"/>
      <c r="C139" s="51"/>
      <c r="D139" s="51"/>
      <c r="E139" s="51"/>
      <c r="F139" s="51"/>
      <c r="G139" s="51"/>
      <c r="H139" s="51"/>
      <c r="I139" s="51"/>
      <c r="J139" s="12"/>
      <c r="K139" s="12"/>
      <c r="L139" s="12"/>
      <c r="M139" s="12"/>
      <c r="N139" s="12"/>
      <c r="O139" s="12"/>
      <c r="P139" s="12"/>
      <c r="Q139" s="12"/>
      <c r="R139" s="12"/>
      <c r="S139" s="12"/>
      <c r="T139" s="12"/>
      <c r="U139" s="12"/>
      <c r="V139" s="12"/>
      <c r="W139" s="12"/>
      <c r="X139" s="12"/>
      <c r="Y139" s="12"/>
      <c r="Z139" s="12"/>
    </row>
    <row r="140" ht="56.25" customHeight="1">
      <c r="A140" s="99" t="s">
        <v>188</v>
      </c>
      <c r="B140" s="20" t="s">
        <v>189</v>
      </c>
      <c r="C140" s="100" t="s">
        <v>190</v>
      </c>
      <c r="D140" s="57" t="s">
        <v>191</v>
      </c>
      <c r="E140" s="57" t="s">
        <v>192</v>
      </c>
      <c r="F140" s="100" t="s">
        <v>193</v>
      </c>
      <c r="G140" s="57" t="s">
        <v>194</v>
      </c>
      <c r="H140" s="20" t="s">
        <v>90</v>
      </c>
      <c r="I140" s="57" t="s">
        <v>91</v>
      </c>
      <c r="J140" s="55"/>
      <c r="K140" s="55"/>
      <c r="L140" s="55"/>
      <c r="M140" s="55"/>
      <c r="N140" s="55"/>
      <c r="O140" s="55"/>
      <c r="P140" s="55"/>
      <c r="Q140" s="55"/>
      <c r="R140" s="55"/>
      <c r="S140" s="55"/>
      <c r="T140" s="55"/>
      <c r="U140" s="55"/>
      <c r="V140" s="55"/>
      <c r="W140" s="55"/>
      <c r="X140" s="55"/>
      <c r="Y140" s="55"/>
      <c r="Z140" s="55"/>
    </row>
    <row r="141" ht="18.75" customHeight="1">
      <c r="A141" s="101" t="s">
        <v>195</v>
      </c>
      <c r="B141" s="102" t="s">
        <v>196</v>
      </c>
      <c r="C141" s="76">
        <v>2021.0</v>
      </c>
      <c r="D141" s="24">
        <v>450.0</v>
      </c>
      <c r="E141" s="23">
        <v>3.0</v>
      </c>
      <c r="F141" s="103">
        <v>120.0</v>
      </c>
      <c r="G141" s="26">
        <f t="shared" ref="G141:G153" si="28">IFERROR((D141-F141)/E141,"")</f>
        <v>110</v>
      </c>
      <c r="H141" s="27">
        <f t="shared" ref="H141:H153" si="29">IFERROR(G141/$H$8,"")</f>
        <v>2.444444444</v>
      </c>
      <c r="I141" s="28">
        <f t="shared" ref="I141:I153" si="30">IFERROR(G141/$I$12,"")</f>
        <v>0.025</v>
      </c>
      <c r="J141" s="12"/>
      <c r="K141" s="12"/>
      <c r="L141" s="12"/>
      <c r="M141" s="12"/>
      <c r="N141" s="12"/>
      <c r="O141" s="12"/>
      <c r="P141" s="12"/>
      <c r="Q141" s="12"/>
      <c r="R141" s="12"/>
      <c r="S141" s="12"/>
      <c r="T141" s="12"/>
      <c r="U141" s="12"/>
      <c r="V141" s="12"/>
      <c r="W141" s="12"/>
      <c r="X141" s="12"/>
      <c r="Y141" s="12"/>
      <c r="Z141" s="12"/>
    </row>
    <row r="142" ht="18.75" customHeight="1">
      <c r="A142" s="101"/>
      <c r="B142" s="102"/>
      <c r="C142" s="76"/>
      <c r="D142" s="24"/>
      <c r="E142" s="23"/>
      <c r="F142" s="103"/>
      <c r="G142" s="26" t="str">
        <f t="shared" si="28"/>
        <v/>
      </c>
      <c r="H142" s="27">
        <f t="shared" si="29"/>
        <v>0</v>
      </c>
      <c r="I142" s="28">
        <f t="shared" si="30"/>
        <v>0</v>
      </c>
      <c r="J142" s="12"/>
      <c r="K142" s="12"/>
      <c r="L142" s="12"/>
      <c r="M142" s="12"/>
      <c r="N142" s="12"/>
      <c r="O142" s="12"/>
      <c r="P142" s="12"/>
      <c r="Q142" s="12"/>
      <c r="R142" s="12"/>
      <c r="S142" s="12"/>
      <c r="T142" s="12"/>
      <c r="U142" s="12"/>
      <c r="V142" s="12"/>
      <c r="W142" s="12"/>
      <c r="X142" s="12"/>
      <c r="Y142" s="12"/>
      <c r="Z142" s="12"/>
    </row>
    <row r="143" ht="18.75" customHeight="1">
      <c r="A143" s="101" t="s">
        <v>197</v>
      </c>
      <c r="B143" s="102" t="s">
        <v>196</v>
      </c>
      <c r="C143" s="76">
        <v>2020.0</v>
      </c>
      <c r="D143" s="24">
        <v>350.0</v>
      </c>
      <c r="E143" s="23">
        <v>3.0</v>
      </c>
      <c r="F143" s="103">
        <v>120.0</v>
      </c>
      <c r="G143" s="26">
        <f t="shared" si="28"/>
        <v>76.66666667</v>
      </c>
      <c r="H143" s="27">
        <f t="shared" si="29"/>
        <v>1.703703704</v>
      </c>
      <c r="I143" s="28">
        <f t="shared" si="30"/>
        <v>0.01742424242</v>
      </c>
      <c r="J143" s="12"/>
      <c r="K143" s="12"/>
      <c r="L143" s="12"/>
      <c r="M143" s="12"/>
      <c r="N143" s="12"/>
      <c r="O143" s="12"/>
      <c r="P143" s="12"/>
      <c r="Q143" s="12"/>
      <c r="R143" s="12"/>
      <c r="S143" s="12"/>
      <c r="T143" s="12"/>
      <c r="U143" s="12"/>
      <c r="V143" s="12"/>
      <c r="W143" s="12"/>
      <c r="X143" s="12"/>
      <c r="Y143" s="12"/>
      <c r="Z143" s="12"/>
    </row>
    <row r="144" ht="18.75" customHeight="1">
      <c r="A144" s="101" t="s">
        <v>198</v>
      </c>
      <c r="B144" s="102" t="s">
        <v>196</v>
      </c>
      <c r="C144" s="76">
        <v>2022.0</v>
      </c>
      <c r="D144" s="24">
        <v>350.0</v>
      </c>
      <c r="E144" s="23">
        <v>3.0</v>
      </c>
      <c r="F144" s="103">
        <v>120.0</v>
      </c>
      <c r="G144" s="26">
        <f t="shared" si="28"/>
        <v>76.66666667</v>
      </c>
      <c r="H144" s="27">
        <f t="shared" si="29"/>
        <v>1.703703704</v>
      </c>
      <c r="I144" s="28">
        <f t="shared" si="30"/>
        <v>0.01742424242</v>
      </c>
      <c r="J144" s="12"/>
      <c r="K144" s="12"/>
      <c r="L144" s="12"/>
      <c r="M144" s="12"/>
      <c r="N144" s="12"/>
      <c r="O144" s="12"/>
      <c r="P144" s="12"/>
      <c r="Q144" s="12"/>
      <c r="R144" s="12"/>
      <c r="S144" s="12"/>
      <c r="T144" s="12"/>
      <c r="U144" s="12"/>
      <c r="V144" s="12"/>
      <c r="W144" s="12"/>
      <c r="X144" s="12"/>
      <c r="Y144" s="12"/>
      <c r="Z144" s="12"/>
    </row>
    <row r="145" ht="18.75" customHeight="1">
      <c r="A145" s="101"/>
      <c r="B145" s="102"/>
      <c r="C145" s="76"/>
      <c r="D145" s="24"/>
      <c r="E145" s="23"/>
      <c r="F145" s="103"/>
      <c r="G145" s="26" t="str">
        <f t="shared" si="28"/>
        <v/>
      </c>
      <c r="H145" s="27">
        <f t="shared" si="29"/>
        <v>0</v>
      </c>
      <c r="I145" s="28">
        <f t="shared" si="30"/>
        <v>0</v>
      </c>
      <c r="J145" s="12"/>
      <c r="K145" s="12"/>
      <c r="L145" s="12"/>
      <c r="M145" s="12"/>
      <c r="N145" s="12"/>
      <c r="O145" s="12"/>
      <c r="P145" s="12"/>
      <c r="Q145" s="12"/>
      <c r="R145" s="12"/>
      <c r="S145" s="12"/>
      <c r="T145" s="12"/>
      <c r="U145" s="12"/>
      <c r="V145" s="12"/>
      <c r="W145" s="12"/>
      <c r="X145" s="12"/>
      <c r="Y145" s="12"/>
      <c r="Z145" s="12"/>
    </row>
    <row r="146" ht="18.75" customHeight="1">
      <c r="A146" s="101" t="s">
        <v>199</v>
      </c>
      <c r="B146" s="102" t="s">
        <v>200</v>
      </c>
      <c r="C146" s="76">
        <v>2019.0</v>
      </c>
      <c r="D146" s="24">
        <v>600.0</v>
      </c>
      <c r="E146" s="23">
        <v>6.0</v>
      </c>
      <c r="F146" s="103">
        <v>190.0</v>
      </c>
      <c r="G146" s="26">
        <f t="shared" si="28"/>
        <v>68.33333333</v>
      </c>
      <c r="H146" s="27">
        <f t="shared" si="29"/>
        <v>1.518518519</v>
      </c>
      <c r="I146" s="28">
        <f t="shared" si="30"/>
        <v>0.01553030303</v>
      </c>
      <c r="J146" s="12"/>
      <c r="K146" s="12"/>
      <c r="L146" s="12"/>
      <c r="M146" s="12"/>
      <c r="N146" s="12"/>
      <c r="O146" s="12"/>
      <c r="P146" s="12"/>
      <c r="Q146" s="12"/>
      <c r="R146" s="12"/>
      <c r="S146" s="12"/>
      <c r="T146" s="12"/>
      <c r="U146" s="12"/>
      <c r="V146" s="12"/>
      <c r="W146" s="12"/>
      <c r="X146" s="12"/>
      <c r="Y146" s="12"/>
      <c r="Z146" s="12"/>
    </row>
    <row r="147" ht="18.75" customHeight="1">
      <c r="A147" s="101"/>
      <c r="B147" s="102"/>
      <c r="C147" s="76"/>
      <c r="D147" s="24"/>
      <c r="E147" s="23"/>
      <c r="F147" s="103"/>
      <c r="G147" s="26" t="str">
        <f t="shared" si="28"/>
        <v/>
      </c>
      <c r="H147" s="27">
        <f t="shared" si="29"/>
        <v>0</v>
      </c>
      <c r="I147" s="28">
        <f t="shared" si="30"/>
        <v>0</v>
      </c>
      <c r="J147" s="12"/>
      <c r="K147" s="12"/>
      <c r="L147" s="12"/>
      <c r="M147" s="12"/>
      <c r="N147" s="12"/>
      <c r="O147" s="12"/>
      <c r="P147" s="12"/>
      <c r="Q147" s="12"/>
      <c r="R147" s="12"/>
      <c r="S147" s="12"/>
      <c r="T147" s="12"/>
      <c r="U147" s="12"/>
      <c r="V147" s="12"/>
      <c r="W147" s="12"/>
      <c r="X147" s="12"/>
      <c r="Y147" s="12"/>
      <c r="Z147" s="12"/>
    </row>
    <row r="148" ht="18.75" customHeight="1">
      <c r="A148" s="101"/>
      <c r="B148" s="102"/>
      <c r="C148" s="76"/>
      <c r="D148" s="24"/>
      <c r="E148" s="23"/>
      <c r="F148" s="103"/>
      <c r="G148" s="26" t="str">
        <f t="shared" si="28"/>
        <v/>
      </c>
      <c r="H148" s="27">
        <f t="shared" si="29"/>
        <v>0</v>
      </c>
      <c r="I148" s="28">
        <f t="shared" si="30"/>
        <v>0</v>
      </c>
      <c r="J148" s="12"/>
      <c r="K148" s="12"/>
      <c r="L148" s="12"/>
      <c r="M148" s="12"/>
      <c r="N148" s="12"/>
      <c r="O148" s="12"/>
      <c r="P148" s="12"/>
      <c r="Q148" s="12"/>
      <c r="R148" s="12"/>
      <c r="S148" s="12"/>
      <c r="T148" s="12"/>
      <c r="U148" s="12"/>
      <c r="V148" s="12"/>
      <c r="W148" s="12"/>
      <c r="X148" s="12"/>
      <c r="Y148" s="12"/>
      <c r="Z148" s="12"/>
    </row>
    <row r="149" ht="18.75" customHeight="1">
      <c r="A149" s="101"/>
      <c r="B149" s="102"/>
      <c r="C149" s="76"/>
      <c r="D149" s="24"/>
      <c r="E149" s="23"/>
      <c r="F149" s="103"/>
      <c r="G149" s="26" t="str">
        <f t="shared" si="28"/>
        <v/>
      </c>
      <c r="H149" s="27">
        <f t="shared" si="29"/>
        <v>0</v>
      </c>
      <c r="I149" s="28">
        <f t="shared" si="30"/>
        <v>0</v>
      </c>
      <c r="J149" s="12"/>
      <c r="K149" s="12"/>
      <c r="L149" s="12"/>
      <c r="M149" s="12"/>
      <c r="N149" s="12"/>
      <c r="O149" s="12"/>
      <c r="P149" s="12"/>
      <c r="Q149" s="12"/>
      <c r="R149" s="12"/>
      <c r="S149" s="12"/>
      <c r="T149" s="12"/>
      <c r="U149" s="12"/>
      <c r="V149" s="12"/>
      <c r="W149" s="12"/>
      <c r="X149" s="12"/>
      <c r="Y149" s="12"/>
      <c r="Z149" s="12"/>
    </row>
    <row r="150" ht="18.75" customHeight="1">
      <c r="A150" s="101"/>
      <c r="B150" s="102"/>
      <c r="C150" s="76"/>
      <c r="D150" s="24"/>
      <c r="E150" s="23"/>
      <c r="F150" s="103"/>
      <c r="G150" s="26" t="str">
        <f t="shared" si="28"/>
        <v/>
      </c>
      <c r="H150" s="27">
        <f t="shared" si="29"/>
        <v>0</v>
      </c>
      <c r="I150" s="28">
        <f t="shared" si="30"/>
        <v>0</v>
      </c>
      <c r="J150" s="12"/>
      <c r="K150" s="12"/>
      <c r="L150" s="12"/>
      <c r="M150" s="12"/>
      <c r="N150" s="12"/>
      <c r="O150" s="12"/>
      <c r="P150" s="12"/>
      <c r="Q150" s="12"/>
      <c r="R150" s="12"/>
      <c r="S150" s="12"/>
      <c r="T150" s="12"/>
      <c r="U150" s="12"/>
      <c r="V150" s="12"/>
      <c r="W150" s="12"/>
      <c r="X150" s="12"/>
      <c r="Y150" s="12"/>
      <c r="Z150" s="12"/>
    </row>
    <row r="151" ht="18.75" customHeight="1">
      <c r="A151" s="101"/>
      <c r="B151" s="102"/>
      <c r="C151" s="76"/>
      <c r="D151" s="24"/>
      <c r="E151" s="23"/>
      <c r="F151" s="103"/>
      <c r="G151" s="26" t="str">
        <f t="shared" si="28"/>
        <v/>
      </c>
      <c r="H151" s="27">
        <f t="shared" si="29"/>
        <v>0</v>
      </c>
      <c r="I151" s="28">
        <f t="shared" si="30"/>
        <v>0</v>
      </c>
      <c r="J151" s="12"/>
      <c r="K151" s="12"/>
      <c r="L151" s="12"/>
      <c r="M151" s="12"/>
      <c r="N151" s="12"/>
      <c r="O151" s="12"/>
      <c r="P151" s="12"/>
      <c r="Q151" s="12"/>
      <c r="R151" s="12"/>
      <c r="S151" s="12"/>
      <c r="T151" s="12"/>
      <c r="U151" s="12"/>
      <c r="V151" s="12"/>
      <c r="W151" s="12"/>
      <c r="X151" s="12"/>
      <c r="Y151" s="12"/>
      <c r="Z151" s="12"/>
    </row>
    <row r="152" ht="18.75" customHeight="1">
      <c r="A152" s="101"/>
      <c r="B152" s="102"/>
      <c r="C152" s="76"/>
      <c r="D152" s="24"/>
      <c r="E152" s="23"/>
      <c r="F152" s="103"/>
      <c r="G152" s="26" t="str">
        <f t="shared" si="28"/>
        <v/>
      </c>
      <c r="H152" s="27">
        <f t="shared" si="29"/>
        <v>0</v>
      </c>
      <c r="I152" s="28">
        <f t="shared" si="30"/>
        <v>0</v>
      </c>
      <c r="J152" s="12"/>
      <c r="K152" s="12"/>
      <c r="L152" s="12"/>
      <c r="M152" s="12"/>
      <c r="N152" s="12"/>
      <c r="O152" s="12"/>
      <c r="P152" s="12"/>
      <c r="Q152" s="12"/>
      <c r="R152" s="12"/>
      <c r="S152" s="12"/>
      <c r="T152" s="12"/>
      <c r="U152" s="12"/>
      <c r="V152" s="12"/>
      <c r="W152" s="12"/>
      <c r="X152" s="12"/>
      <c r="Y152" s="12"/>
      <c r="Z152" s="12"/>
    </row>
    <row r="153" ht="18.75" customHeight="1">
      <c r="A153" s="41"/>
      <c r="B153" s="102"/>
      <c r="C153" s="76"/>
      <c r="D153" s="45"/>
      <c r="E153" s="23"/>
      <c r="F153" s="104"/>
      <c r="G153" s="26" t="str">
        <f t="shared" si="28"/>
        <v/>
      </c>
      <c r="H153" s="27">
        <f t="shared" si="29"/>
        <v>0</v>
      </c>
      <c r="I153" s="28">
        <f t="shared" si="30"/>
        <v>0</v>
      </c>
      <c r="J153" s="12"/>
      <c r="K153" s="12"/>
      <c r="L153" s="12"/>
      <c r="M153" s="12"/>
      <c r="N153" s="12"/>
      <c r="O153" s="12"/>
      <c r="P153" s="12"/>
      <c r="Q153" s="12"/>
      <c r="R153" s="12"/>
      <c r="S153" s="12"/>
      <c r="T153" s="12"/>
      <c r="U153" s="12"/>
      <c r="V153" s="12"/>
      <c r="W153" s="12"/>
      <c r="X153" s="12"/>
      <c r="Y153" s="12"/>
      <c r="Z153" s="12"/>
    </row>
    <row r="154" ht="18.75" customHeight="1">
      <c r="A154" s="46" t="s">
        <v>201</v>
      </c>
      <c r="B154" s="105"/>
      <c r="C154" s="46"/>
      <c r="D154" s="48">
        <f>SUM(D141:D153)</f>
        <v>1750</v>
      </c>
      <c r="E154" s="106"/>
      <c r="F154" s="48">
        <f>SUM(F146:F153)</f>
        <v>190</v>
      </c>
      <c r="G154" s="107">
        <f t="shared" ref="G154:I154" si="31">SUM(G141:G153)</f>
        <v>331.6666667</v>
      </c>
      <c r="H154" s="108">
        <f t="shared" si="31"/>
        <v>7.37037037</v>
      </c>
      <c r="I154" s="109">
        <f t="shared" si="31"/>
        <v>0.07537878788</v>
      </c>
      <c r="J154" s="11"/>
      <c r="K154" s="11"/>
      <c r="L154" s="11"/>
      <c r="M154" s="11"/>
      <c r="N154" s="11"/>
      <c r="O154" s="11"/>
      <c r="P154" s="11"/>
      <c r="Q154" s="11"/>
      <c r="R154" s="11"/>
      <c r="S154" s="11"/>
      <c r="T154" s="11"/>
      <c r="U154" s="11"/>
      <c r="V154" s="11"/>
      <c r="W154" s="11"/>
      <c r="X154" s="11"/>
      <c r="Y154" s="11"/>
      <c r="Z154" s="11"/>
    </row>
    <row r="155" ht="18.75" customHeight="1">
      <c r="A155" s="11" t="s">
        <v>202</v>
      </c>
      <c r="B155" s="11"/>
      <c r="C155" s="12"/>
      <c r="D155" s="11" t="s">
        <v>171</v>
      </c>
      <c r="E155" s="110">
        <v>0.01</v>
      </c>
      <c r="F155" s="13"/>
      <c r="G155" s="48">
        <f>((D154+F154)/2)*E155</f>
        <v>9.7</v>
      </c>
      <c r="H155" s="58">
        <f>G155/$H$8</f>
        <v>0.2155555556</v>
      </c>
      <c r="I155" s="50">
        <f>G155/($I$12)</f>
        <v>0.002204545455</v>
      </c>
      <c r="J155" s="12"/>
      <c r="K155" s="12"/>
      <c r="L155" s="12"/>
      <c r="M155" s="12"/>
      <c r="N155" s="12"/>
      <c r="O155" s="12"/>
      <c r="P155" s="12"/>
      <c r="Q155" s="12"/>
      <c r="R155" s="12"/>
      <c r="S155" s="12"/>
      <c r="T155" s="12"/>
      <c r="U155" s="12"/>
      <c r="V155" s="12"/>
      <c r="W155" s="12"/>
      <c r="X155" s="12"/>
      <c r="Y155" s="12"/>
      <c r="Z155" s="12"/>
    </row>
    <row r="156" ht="18.75" customHeight="1">
      <c r="A156" s="11"/>
      <c r="B156" s="11"/>
      <c r="C156" s="12"/>
      <c r="D156" s="12"/>
      <c r="E156" s="111"/>
      <c r="F156" s="13"/>
      <c r="G156" s="16"/>
      <c r="H156" s="16"/>
      <c r="I156" s="16"/>
      <c r="J156" s="12"/>
      <c r="K156" s="12"/>
      <c r="L156" s="12"/>
      <c r="M156" s="12"/>
      <c r="N156" s="12"/>
      <c r="O156" s="12"/>
      <c r="P156" s="12"/>
      <c r="Q156" s="12"/>
      <c r="R156" s="12"/>
      <c r="S156" s="12"/>
      <c r="T156" s="12"/>
      <c r="U156" s="12"/>
      <c r="V156" s="12"/>
      <c r="W156" s="12"/>
      <c r="X156" s="12"/>
      <c r="Y156" s="12"/>
      <c r="Z156" s="12"/>
    </row>
    <row r="157" ht="18.75" customHeight="1">
      <c r="A157" s="11"/>
      <c r="B157" s="11"/>
      <c r="C157" s="12"/>
      <c r="D157" s="12"/>
      <c r="E157" s="111"/>
      <c r="F157" s="13"/>
      <c r="G157" s="16"/>
      <c r="H157" s="16"/>
      <c r="I157" s="16"/>
      <c r="J157" s="12"/>
      <c r="K157" s="12"/>
      <c r="L157" s="12"/>
      <c r="M157" s="12"/>
      <c r="N157" s="12"/>
      <c r="O157" s="12"/>
      <c r="P157" s="12"/>
      <c r="Q157" s="12"/>
      <c r="R157" s="12"/>
      <c r="S157" s="12"/>
      <c r="T157" s="12"/>
      <c r="U157" s="12"/>
      <c r="V157" s="12"/>
      <c r="W157" s="12"/>
      <c r="X157" s="12"/>
      <c r="Y157" s="12"/>
      <c r="Z157" s="12"/>
    </row>
    <row r="158" ht="18.75" customHeight="1">
      <c r="A158" s="11"/>
      <c r="B158" s="11"/>
      <c r="C158" s="12"/>
      <c r="D158" s="12"/>
      <c r="E158" s="111"/>
      <c r="F158" s="13"/>
      <c r="G158" s="16"/>
      <c r="H158" s="16"/>
      <c r="I158" s="16"/>
      <c r="J158" s="12"/>
      <c r="K158" s="12"/>
      <c r="L158" s="12"/>
      <c r="M158" s="12"/>
      <c r="N158" s="12"/>
      <c r="O158" s="12"/>
      <c r="P158" s="12"/>
      <c r="Q158" s="12"/>
      <c r="R158" s="12"/>
      <c r="S158" s="12"/>
      <c r="T158" s="12"/>
      <c r="U158" s="12"/>
      <c r="V158" s="12"/>
      <c r="W158" s="12"/>
      <c r="X158" s="12"/>
      <c r="Y158" s="12"/>
      <c r="Z158" s="12"/>
    </row>
    <row r="159" ht="18.75" customHeight="1">
      <c r="A159" s="11"/>
      <c r="B159" s="11"/>
      <c r="C159" s="12"/>
      <c r="D159" s="12"/>
      <c r="E159" s="111"/>
      <c r="F159" s="13"/>
      <c r="G159" s="16"/>
      <c r="H159" s="16"/>
      <c r="I159" s="16"/>
      <c r="J159" s="12"/>
      <c r="K159" s="12"/>
      <c r="L159" s="12"/>
      <c r="M159" s="12"/>
      <c r="N159" s="12"/>
      <c r="O159" s="12"/>
      <c r="P159" s="12"/>
      <c r="Q159" s="12"/>
      <c r="R159" s="12"/>
      <c r="S159" s="12"/>
      <c r="T159" s="12"/>
      <c r="U159" s="12"/>
      <c r="V159" s="12"/>
      <c r="W159" s="12"/>
      <c r="X159" s="12"/>
      <c r="Y159" s="12"/>
      <c r="Z159" s="12"/>
    </row>
    <row r="160" ht="18.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ht="18.75" customHeight="1">
      <c r="A161" s="17" t="s">
        <v>203</v>
      </c>
      <c r="B161" s="51"/>
      <c r="C161" s="51"/>
      <c r="D161" s="51"/>
      <c r="E161" s="51"/>
      <c r="F161" s="51"/>
      <c r="G161" s="51"/>
      <c r="H161" s="51"/>
      <c r="I161" s="51"/>
      <c r="J161" s="12"/>
      <c r="K161" s="12"/>
      <c r="L161" s="12"/>
      <c r="M161" s="12"/>
      <c r="N161" s="12"/>
      <c r="O161" s="12"/>
      <c r="P161" s="12"/>
      <c r="Q161" s="12"/>
      <c r="R161" s="12"/>
      <c r="S161" s="12"/>
      <c r="T161" s="12"/>
      <c r="U161" s="12"/>
      <c r="V161" s="12"/>
      <c r="W161" s="12"/>
      <c r="X161" s="12"/>
      <c r="Y161" s="12"/>
      <c r="Z161" s="12"/>
    </row>
    <row r="162" ht="56.25" customHeight="1">
      <c r="A162" s="56" t="s">
        <v>137</v>
      </c>
      <c r="B162" s="57" t="s">
        <v>204</v>
      </c>
      <c r="C162" s="57" t="s">
        <v>205</v>
      </c>
      <c r="D162" s="57" t="s">
        <v>206</v>
      </c>
      <c r="E162" s="57" t="s">
        <v>207</v>
      </c>
      <c r="F162" s="57" t="s">
        <v>208</v>
      </c>
      <c r="G162" s="57" t="s">
        <v>209</v>
      </c>
      <c r="H162" s="20" t="s">
        <v>90</v>
      </c>
      <c r="I162" s="57" t="s">
        <v>91</v>
      </c>
      <c r="J162" s="55"/>
      <c r="K162" s="55"/>
      <c r="L162" s="55"/>
      <c r="M162" s="55"/>
      <c r="N162" s="55"/>
      <c r="O162" s="55"/>
      <c r="P162" s="55"/>
      <c r="Q162" s="55"/>
      <c r="R162" s="55"/>
      <c r="S162" s="55"/>
      <c r="T162" s="55"/>
      <c r="U162" s="55"/>
      <c r="V162" s="55"/>
      <c r="W162" s="55"/>
      <c r="X162" s="55"/>
      <c r="Y162" s="55"/>
      <c r="Z162" s="55"/>
    </row>
    <row r="163" ht="18.75" customHeight="1">
      <c r="A163" s="23" t="s">
        <v>210</v>
      </c>
      <c r="B163" s="24">
        <v>9000.0</v>
      </c>
      <c r="C163" s="23">
        <v>12.0</v>
      </c>
      <c r="D163" s="24">
        <v>1200.0</v>
      </c>
      <c r="E163" s="26">
        <f t="shared" ref="E163:E181" si="32">IFERROR((B163-D163)/C163,"")</f>
        <v>650</v>
      </c>
      <c r="F163" s="71">
        <v>0.5</v>
      </c>
      <c r="G163" s="26">
        <f t="shared" ref="G163:G181" si="33">IFERROR(E163*F163,"")</f>
        <v>325</v>
      </c>
      <c r="H163" s="27">
        <f t="shared" ref="H163:H181" si="34">IFERROR(G163/$H$8,"")</f>
        <v>7.222222222</v>
      </c>
      <c r="I163" s="28">
        <f t="shared" ref="I163:I181" si="35">IFERROR(G163/$I$12,"")</f>
        <v>0.07386363636</v>
      </c>
      <c r="J163" s="12"/>
      <c r="K163" s="12"/>
      <c r="L163" s="12"/>
      <c r="M163" s="12"/>
      <c r="N163" s="12"/>
      <c r="O163" s="12"/>
      <c r="P163" s="12"/>
      <c r="Q163" s="12"/>
      <c r="R163" s="12"/>
      <c r="S163" s="12"/>
      <c r="T163" s="12"/>
      <c r="U163" s="12"/>
      <c r="V163" s="12"/>
      <c r="W163" s="12"/>
      <c r="X163" s="12"/>
      <c r="Y163" s="12"/>
      <c r="Z163" s="12"/>
    </row>
    <row r="164" ht="18.75" customHeight="1">
      <c r="A164" s="23" t="s">
        <v>211</v>
      </c>
      <c r="B164" s="24">
        <v>22500.0</v>
      </c>
      <c r="C164" s="23">
        <v>15.0</v>
      </c>
      <c r="D164" s="24">
        <v>7000.0</v>
      </c>
      <c r="E164" s="26">
        <f t="shared" si="32"/>
        <v>1033.333333</v>
      </c>
      <c r="F164" s="71">
        <v>0.3</v>
      </c>
      <c r="G164" s="26">
        <f t="shared" si="33"/>
        <v>310</v>
      </c>
      <c r="H164" s="27">
        <f t="shared" si="34"/>
        <v>6.888888889</v>
      </c>
      <c r="I164" s="28">
        <f t="shared" si="35"/>
        <v>0.07045454545</v>
      </c>
      <c r="J164" s="12"/>
      <c r="K164" s="12"/>
      <c r="L164" s="12"/>
      <c r="M164" s="12"/>
      <c r="N164" s="12"/>
      <c r="O164" s="12"/>
      <c r="P164" s="12"/>
      <c r="Q164" s="12"/>
      <c r="R164" s="12"/>
      <c r="S164" s="12"/>
      <c r="T164" s="12"/>
      <c r="U164" s="12"/>
      <c r="V164" s="12"/>
      <c r="W164" s="12"/>
      <c r="X164" s="12"/>
      <c r="Y164" s="12"/>
      <c r="Z164" s="12"/>
    </row>
    <row r="165" ht="18.75" customHeight="1">
      <c r="A165" s="23" t="s">
        <v>212</v>
      </c>
      <c r="B165" s="24">
        <v>10000.0</v>
      </c>
      <c r="C165" s="23">
        <v>12.0</v>
      </c>
      <c r="D165" s="24">
        <v>1800.0</v>
      </c>
      <c r="E165" s="26">
        <f t="shared" si="32"/>
        <v>683.3333333</v>
      </c>
      <c r="F165" s="71">
        <v>0.45</v>
      </c>
      <c r="G165" s="26">
        <f t="shared" si="33"/>
        <v>307.5</v>
      </c>
      <c r="H165" s="27">
        <f t="shared" si="34"/>
        <v>6.833333333</v>
      </c>
      <c r="I165" s="28">
        <f t="shared" si="35"/>
        <v>0.06988636364</v>
      </c>
      <c r="J165" s="12"/>
      <c r="K165" s="12"/>
      <c r="L165" s="12"/>
      <c r="M165" s="12"/>
      <c r="N165" s="12"/>
      <c r="O165" s="12"/>
      <c r="P165" s="12"/>
      <c r="Q165" s="12"/>
      <c r="R165" s="12"/>
      <c r="S165" s="12"/>
      <c r="T165" s="12"/>
      <c r="U165" s="12"/>
      <c r="V165" s="12"/>
      <c r="W165" s="12"/>
      <c r="X165" s="12"/>
      <c r="Y165" s="12"/>
      <c r="Z165" s="12"/>
    </row>
    <row r="166" ht="18.75" customHeight="1">
      <c r="A166" s="23" t="s">
        <v>213</v>
      </c>
      <c r="B166" s="24">
        <v>24000.0</v>
      </c>
      <c r="C166" s="23">
        <v>8.0</v>
      </c>
      <c r="D166" s="24">
        <v>5000.0</v>
      </c>
      <c r="E166" s="26">
        <f t="shared" si="32"/>
        <v>2375</v>
      </c>
      <c r="F166" s="71">
        <v>0.1</v>
      </c>
      <c r="G166" s="26">
        <f t="shared" si="33"/>
        <v>237.5</v>
      </c>
      <c r="H166" s="27">
        <f t="shared" si="34"/>
        <v>5.277777778</v>
      </c>
      <c r="I166" s="28">
        <f t="shared" si="35"/>
        <v>0.05397727273</v>
      </c>
      <c r="J166" s="12"/>
      <c r="K166" s="12"/>
      <c r="L166" s="12"/>
      <c r="M166" s="12"/>
      <c r="N166" s="12"/>
      <c r="O166" s="12"/>
      <c r="P166" s="12"/>
      <c r="Q166" s="12"/>
      <c r="R166" s="12"/>
      <c r="S166" s="12"/>
      <c r="T166" s="12"/>
      <c r="U166" s="12"/>
      <c r="V166" s="12"/>
      <c r="W166" s="12"/>
      <c r="X166" s="12"/>
      <c r="Y166" s="12"/>
      <c r="Z166" s="12"/>
    </row>
    <row r="167" ht="18.75" customHeight="1">
      <c r="A167" s="23" t="s">
        <v>214</v>
      </c>
      <c r="B167" s="24">
        <v>9500.0</v>
      </c>
      <c r="C167" s="23">
        <v>12.0</v>
      </c>
      <c r="D167" s="24">
        <v>1500.0</v>
      </c>
      <c r="E167" s="26">
        <f t="shared" si="32"/>
        <v>666.6666667</v>
      </c>
      <c r="F167" s="71">
        <v>0.4</v>
      </c>
      <c r="G167" s="26">
        <f t="shared" si="33"/>
        <v>266.6666667</v>
      </c>
      <c r="H167" s="27">
        <f t="shared" si="34"/>
        <v>5.925925926</v>
      </c>
      <c r="I167" s="28">
        <f t="shared" si="35"/>
        <v>0.06060606061</v>
      </c>
      <c r="J167" s="12"/>
      <c r="K167" s="12"/>
      <c r="L167" s="12"/>
      <c r="M167" s="12"/>
      <c r="N167" s="12"/>
      <c r="O167" s="12"/>
      <c r="P167" s="12"/>
      <c r="Q167" s="12"/>
      <c r="R167" s="12"/>
      <c r="S167" s="12"/>
      <c r="T167" s="12"/>
      <c r="U167" s="12"/>
      <c r="V167" s="12"/>
      <c r="W167" s="12"/>
      <c r="X167" s="12"/>
      <c r="Y167" s="12"/>
      <c r="Z167" s="12"/>
    </row>
    <row r="168" ht="18.75" customHeight="1">
      <c r="A168" s="23" t="s">
        <v>215</v>
      </c>
      <c r="B168" s="24">
        <v>2500.0</v>
      </c>
      <c r="C168" s="23">
        <v>10.0</v>
      </c>
      <c r="D168" s="24">
        <v>500.0</v>
      </c>
      <c r="E168" s="26">
        <f t="shared" si="32"/>
        <v>200</v>
      </c>
      <c r="F168" s="71">
        <v>1.0</v>
      </c>
      <c r="G168" s="26">
        <f t="shared" si="33"/>
        <v>200</v>
      </c>
      <c r="H168" s="27">
        <f t="shared" si="34"/>
        <v>4.444444444</v>
      </c>
      <c r="I168" s="28">
        <f t="shared" si="35"/>
        <v>0.04545454545</v>
      </c>
      <c r="J168" s="12"/>
      <c r="K168" s="12"/>
      <c r="L168" s="12"/>
      <c r="M168" s="12"/>
      <c r="N168" s="12"/>
      <c r="O168" s="12"/>
      <c r="P168" s="12"/>
      <c r="Q168" s="12"/>
      <c r="R168" s="12"/>
      <c r="S168" s="12"/>
      <c r="T168" s="12"/>
      <c r="U168" s="12"/>
      <c r="V168" s="12"/>
      <c r="W168" s="12"/>
      <c r="X168" s="12"/>
      <c r="Y168" s="12"/>
      <c r="Z168" s="12"/>
    </row>
    <row r="169" ht="18.75" customHeight="1">
      <c r="A169" s="23" t="s">
        <v>216</v>
      </c>
      <c r="B169" s="24">
        <v>1000.0</v>
      </c>
      <c r="C169" s="23">
        <v>8.0</v>
      </c>
      <c r="D169" s="24">
        <v>0.0</v>
      </c>
      <c r="E169" s="26">
        <f t="shared" si="32"/>
        <v>125</v>
      </c>
      <c r="F169" s="71">
        <v>1.0</v>
      </c>
      <c r="G169" s="26">
        <f t="shared" si="33"/>
        <v>125</v>
      </c>
      <c r="H169" s="27">
        <f t="shared" si="34"/>
        <v>2.777777778</v>
      </c>
      <c r="I169" s="28">
        <f t="shared" si="35"/>
        <v>0.02840909091</v>
      </c>
      <c r="J169" s="12"/>
      <c r="K169" s="12"/>
      <c r="L169" s="12"/>
      <c r="M169" s="12"/>
      <c r="N169" s="12"/>
      <c r="O169" s="12"/>
      <c r="P169" s="12"/>
      <c r="Q169" s="12"/>
      <c r="R169" s="12"/>
      <c r="S169" s="12"/>
      <c r="T169" s="12"/>
      <c r="U169" s="12"/>
      <c r="V169" s="12"/>
      <c r="W169" s="12"/>
      <c r="X169" s="12"/>
      <c r="Y169" s="12"/>
      <c r="Z169" s="12"/>
    </row>
    <row r="170" ht="18.75" customHeight="1">
      <c r="A170" s="23"/>
      <c r="B170" s="24"/>
      <c r="C170" s="23"/>
      <c r="D170" s="24"/>
      <c r="E170" s="26" t="str">
        <f t="shared" si="32"/>
        <v/>
      </c>
      <c r="F170" s="71"/>
      <c r="G170" s="26">
        <f t="shared" si="33"/>
        <v>0</v>
      </c>
      <c r="H170" s="27">
        <f t="shared" si="34"/>
        <v>0</v>
      </c>
      <c r="I170" s="28">
        <f t="shared" si="35"/>
        <v>0</v>
      </c>
      <c r="J170" s="12"/>
      <c r="K170" s="12"/>
      <c r="L170" s="12"/>
      <c r="M170" s="12"/>
      <c r="N170" s="12"/>
      <c r="O170" s="12"/>
      <c r="P170" s="12"/>
      <c r="Q170" s="12"/>
      <c r="R170" s="12"/>
      <c r="S170" s="12"/>
      <c r="T170" s="12"/>
      <c r="U170" s="12"/>
      <c r="V170" s="12"/>
      <c r="W170" s="12"/>
      <c r="X170" s="12"/>
      <c r="Y170" s="12"/>
      <c r="Z170" s="12"/>
    </row>
    <row r="171" ht="18.75" customHeight="1">
      <c r="A171" s="23"/>
      <c r="B171" s="24"/>
      <c r="C171" s="23"/>
      <c r="D171" s="24"/>
      <c r="E171" s="26" t="str">
        <f t="shared" si="32"/>
        <v/>
      </c>
      <c r="F171" s="71"/>
      <c r="G171" s="26">
        <f t="shared" si="33"/>
        <v>0</v>
      </c>
      <c r="H171" s="27">
        <f t="shared" si="34"/>
        <v>0</v>
      </c>
      <c r="I171" s="28">
        <f t="shared" si="35"/>
        <v>0</v>
      </c>
      <c r="J171" s="12"/>
      <c r="K171" s="12"/>
      <c r="L171" s="12"/>
      <c r="M171" s="12"/>
      <c r="N171" s="12"/>
      <c r="O171" s="12"/>
      <c r="P171" s="12"/>
      <c r="Q171" s="12"/>
      <c r="R171" s="12"/>
      <c r="S171" s="12"/>
      <c r="T171" s="12"/>
      <c r="U171" s="12"/>
      <c r="V171" s="12"/>
      <c r="W171" s="12"/>
      <c r="X171" s="12"/>
      <c r="Y171" s="12"/>
      <c r="Z171" s="12"/>
    </row>
    <row r="172" ht="18.75" customHeight="1">
      <c r="A172" s="23"/>
      <c r="B172" s="24"/>
      <c r="C172" s="23"/>
      <c r="D172" s="24"/>
      <c r="E172" s="26" t="str">
        <f t="shared" si="32"/>
        <v/>
      </c>
      <c r="F172" s="71"/>
      <c r="G172" s="26">
        <f t="shared" si="33"/>
        <v>0</v>
      </c>
      <c r="H172" s="27">
        <f t="shared" si="34"/>
        <v>0</v>
      </c>
      <c r="I172" s="28">
        <f t="shared" si="35"/>
        <v>0</v>
      </c>
      <c r="J172" s="12"/>
      <c r="K172" s="12"/>
      <c r="L172" s="12"/>
      <c r="M172" s="12"/>
      <c r="N172" s="12"/>
      <c r="O172" s="12"/>
      <c r="P172" s="12"/>
      <c r="Q172" s="12"/>
      <c r="R172" s="12"/>
      <c r="S172" s="12"/>
      <c r="T172" s="12"/>
      <c r="U172" s="12"/>
      <c r="V172" s="12"/>
      <c r="W172" s="12"/>
      <c r="X172" s="12"/>
      <c r="Y172" s="12"/>
      <c r="Z172" s="12"/>
    </row>
    <row r="173" ht="18.75" customHeight="1">
      <c r="A173" s="23"/>
      <c r="B173" s="24"/>
      <c r="C173" s="23"/>
      <c r="D173" s="24"/>
      <c r="E173" s="26" t="str">
        <f t="shared" si="32"/>
        <v/>
      </c>
      <c r="F173" s="71"/>
      <c r="G173" s="26">
        <f t="shared" si="33"/>
        <v>0</v>
      </c>
      <c r="H173" s="27">
        <f t="shared" si="34"/>
        <v>0</v>
      </c>
      <c r="I173" s="28">
        <f t="shared" si="35"/>
        <v>0</v>
      </c>
      <c r="J173" s="12"/>
      <c r="K173" s="12"/>
      <c r="L173" s="12"/>
      <c r="M173" s="12"/>
      <c r="N173" s="12"/>
      <c r="O173" s="12"/>
      <c r="P173" s="12"/>
      <c r="Q173" s="12"/>
      <c r="R173" s="12"/>
      <c r="S173" s="12"/>
      <c r="T173" s="12"/>
      <c r="U173" s="12"/>
      <c r="V173" s="12"/>
      <c r="W173" s="12"/>
      <c r="X173" s="12"/>
      <c r="Y173" s="12"/>
      <c r="Z173" s="12"/>
    </row>
    <row r="174" ht="18.75" customHeight="1">
      <c r="A174" s="23"/>
      <c r="B174" s="24"/>
      <c r="C174" s="23"/>
      <c r="D174" s="24"/>
      <c r="E174" s="26" t="str">
        <f t="shared" si="32"/>
        <v/>
      </c>
      <c r="F174" s="71"/>
      <c r="G174" s="26">
        <f t="shared" si="33"/>
        <v>0</v>
      </c>
      <c r="H174" s="27">
        <f t="shared" si="34"/>
        <v>0</v>
      </c>
      <c r="I174" s="28">
        <f t="shared" si="35"/>
        <v>0</v>
      </c>
      <c r="J174" s="12"/>
      <c r="K174" s="12"/>
      <c r="L174" s="12"/>
      <c r="M174" s="12"/>
      <c r="N174" s="12"/>
      <c r="O174" s="12"/>
      <c r="P174" s="12"/>
      <c r="Q174" s="12"/>
      <c r="R174" s="12"/>
      <c r="S174" s="12"/>
      <c r="T174" s="12"/>
      <c r="U174" s="12"/>
      <c r="V174" s="12"/>
      <c r="W174" s="12"/>
      <c r="X174" s="12"/>
      <c r="Y174" s="12"/>
      <c r="Z174" s="12"/>
    </row>
    <row r="175" ht="18.75" customHeight="1">
      <c r="A175" s="23"/>
      <c r="B175" s="24"/>
      <c r="C175" s="23"/>
      <c r="D175" s="24"/>
      <c r="E175" s="26" t="str">
        <f t="shared" si="32"/>
        <v/>
      </c>
      <c r="F175" s="71"/>
      <c r="G175" s="26">
        <f t="shared" si="33"/>
        <v>0</v>
      </c>
      <c r="H175" s="27">
        <f t="shared" si="34"/>
        <v>0</v>
      </c>
      <c r="I175" s="28">
        <f t="shared" si="35"/>
        <v>0</v>
      </c>
      <c r="J175" s="12"/>
      <c r="K175" s="12"/>
      <c r="L175" s="12"/>
      <c r="M175" s="12"/>
      <c r="N175" s="12"/>
      <c r="O175" s="12"/>
      <c r="P175" s="12"/>
      <c r="Q175" s="12"/>
      <c r="R175" s="12"/>
      <c r="S175" s="12"/>
      <c r="T175" s="12"/>
      <c r="U175" s="12"/>
      <c r="V175" s="12"/>
      <c r="W175" s="12"/>
      <c r="X175" s="12"/>
      <c r="Y175" s="12"/>
      <c r="Z175" s="12"/>
    </row>
    <row r="176" ht="18.75" customHeight="1">
      <c r="A176" s="23"/>
      <c r="B176" s="24"/>
      <c r="C176" s="23"/>
      <c r="D176" s="24"/>
      <c r="E176" s="26" t="str">
        <f t="shared" si="32"/>
        <v/>
      </c>
      <c r="F176" s="71"/>
      <c r="G176" s="26">
        <f t="shared" si="33"/>
        <v>0</v>
      </c>
      <c r="H176" s="27">
        <f t="shared" si="34"/>
        <v>0</v>
      </c>
      <c r="I176" s="28">
        <f t="shared" si="35"/>
        <v>0</v>
      </c>
      <c r="J176" s="12"/>
      <c r="K176" s="12"/>
      <c r="L176" s="12"/>
      <c r="M176" s="12"/>
      <c r="N176" s="12"/>
      <c r="O176" s="12"/>
      <c r="P176" s="12"/>
      <c r="Q176" s="12"/>
      <c r="R176" s="12"/>
      <c r="S176" s="12"/>
      <c r="T176" s="12"/>
      <c r="U176" s="12"/>
      <c r="V176" s="12"/>
      <c r="W176" s="12"/>
      <c r="X176" s="12"/>
      <c r="Y176" s="12"/>
      <c r="Z176" s="12"/>
    </row>
    <row r="177" ht="18.75" customHeight="1">
      <c r="A177" s="23"/>
      <c r="B177" s="24"/>
      <c r="C177" s="23"/>
      <c r="D177" s="24"/>
      <c r="E177" s="26" t="str">
        <f t="shared" si="32"/>
        <v/>
      </c>
      <c r="F177" s="71"/>
      <c r="G177" s="26">
        <f t="shared" si="33"/>
        <v>0</v>
      </c>
      <c r="H177" s="27">
        <f t="shared" si="34"/>
        <v>0</v>
      </c>
      <c r="I177" s="28">
        <f t="shared" si="35"/>
        <v>0</v>
      </c>
      <c r="J177" s="12"/>
      <c r="K177" s="12"/>
      <c r="L177" s="12"/>
      <c r="M177" s="12"/>
      <c r="N177" s="12"/>
      <c r="O177" s="12"/>
      <c r="P177" s="12"/>
      <c r="Q177" s="12"/>
      <c r="R177" s="12"/>
      <c r="S177" s="12"/>
      <c r="T177" s="12"/>
      <c r="U177" s="12"/>
      <c r="V177" s="12"/>
      <c r="W177" s="12"/>
      <c r="X177" s="12"/>
      <c r="Y177" s="12"/>
      <c r="Z177" s="12"/>
    </row>
    <row r="178" ht="18.75" customHeight="1">
      <c r="A178" s="23"/>
      <c r="B178" s="24"/>
      <c r="C178" s="23"/>
      <c r="D178" s="24"/>
      <c r="E178" s="26" t="str">
        <f t="shared" si="32"/>
        <v/>
      </c>
      <c r="F178" s="71"/>
      <c r="G178" s="26">
        <f t="shared" si="33"/>
        <v>0</v>
      </c>
      <c r="H178" s="27">
        <f t="shared" si="34"/>
        <v>0</v>
      </c>
      <c r="I178" s="28">
        <f t="shared" si="35"/>
        <v>0</v>
      </c>
      <c r="J178" s="12"/>
      <c r="K178" s="12"/>
      <c r="L178" s="12"/>
      <c r="M178" s="12"/>
      <c r="N178" s="12"/>
      <c r="O178" s="12"/>
      <c r="P178" s="12"/>
      <c r="Q178" s="12"/>
      <c r="R178" s="12"/>
      <c r="S178" s="12"/>
      <c r="T178" s="12"/>
      <c r="U178" s="12"/>
      <c r="V178" s="12"/>
      <c r="W178" s="12"/>
      <c r="X178" s="12"/>
      <c r="Y178" s="12"/>
      <c r="Z178" s="12"/>
    </row>
    <row r="179" ht="18.75" customHeight="1">
      <c r="A179" s="23"/>
      <c r="B179" s="24"/>
      <c r="C179" s="23"/>
      <c r="D179" s="24"/>
      <c r="E179" s="26" t="str">
        <f t="shared" si="32"/>
        <v/>
      </c>
      <c r="F179" s="71"/>
      <c r="G179" s="26">
        <f t="shared" si="33"/>
        <v>0</v>
      </c>
      <c r="H179" s="27">
        <f t="shared" si="34"/>
        <v>0</v>
      </c>
      <c r="I179" s="28">
        <f t="shared" si="35"/>
        <v>0</v>
      </c>
      <c r="J179" s="12"/>
      <c r="K179" s="12"/>
      <c r="L179" s="12"/>
      <c r="M179" s="12"/>
      <c r="N179" s="12"/>
      <c r="O179" s="12"/>
      <c r="P179" s="12"/>
      <c r="Q179" s="12"/>
      <c r="R179" s="12"/>
      <c r="S179" s="12"/>
      <c r="T179" s="12"/>
      <c r="U179" s="12"/>
      <c r="V179" s="12"/>
      <c r="W179" s="12"/>
      <c r="X179" s="12"/>
      <c r="Y179" s="12"/>
      <c r="Z179" s="12"/>
    </row>
    <row r="180" ht="18.75" customHeight="1">
      <c r="A180" s="23"/>
      <c r="B180" s="24"/>
      <c r="C180" s="23"/>
      <c r="D180" s="24"/>
      <c r="E180" s="26" t="str">
        <f t="shared" si="32"/>
        <v/>
      </c>
      <c r="F180" s="71"/>
      <c r="G180" s="26">
        <f t="shared" si="33"/>
        <v>0</v>
      </c>
      <c r="H180" s="27">
        <f t="shared" si="34"/>
        <v>0</v>
      </c>
      <c r="I180" s="28">
        <f t="shared" si="35"/>
        <v>0</v>
      </c>
      <c r="J180" s="12"/>
      <c r="K180" s="12"/>
      <c r="L180" s="12"/>
      <c r="M180" s="12"/>
      <c r="N180" s="12"/>
      <c r="O180" s="12"/>
      <c r="P180" s="12"/>
      <c r="Q180" s="12"/>
      <c r="R180" s="12"/>
      <c r="S180" s="12"/>
      <c r="T180" s="12"/>
      <c r="U180" s="12"/>
      <c r="V180" s="12"/>
      <c r="W180" s="12"/>
      <c r="X180" s="12"/>
      <c r="Y180" s="12"/>
      <c r="Z180" s="12"/>
    </row>
    <row r="181" ht="18.75" customHeight="1">
      <c r="A181" s="23"/>
      <c r="B181" s="45"/>
      <c r="C181" s="40"/>
      <c r="D181" s="45"/>
      <c r="E181" s="43" t="str">
        <f t="shared" si="32"/>
        <v/>
      </c>
      <c r="F181" s="80"/>
      <c r="G181" s="43">
        <f t="shared" si="33"/>
        <v>0</v>
      </c>
      <c r="H181" s="27">
        <f t="shared" si="34"/>
        <v>0</v>
      </c>
      <c r="I181" s="28">
        <f t="shared" si="35"/>
        <v>0</v>
      </c>
      <c r="J181" s="12"/>
      <c r="K181" s="12"/>
      <c r="L181" s="12"/>
      <c r="M181" s="12"/>
      <c r="N181" s="12"/>
      <c r="O181" s="12"/>
      <c r="P181" s="12"/>
      <c r="Q181" s="12"/>
      <c r="R181" s="12"/>
      <c r="S181" s="12"/>
      <c r="T181" s="12"/>
      <c r="U181" s="12"/>
      <c r="V181" s="12"/>
      <c r="W181" s="12"/>
      <c r="X181" s="12"/>
      <c r="Y181" s="12"/>
      <c r="Z181" s="12"/>
    </row>
    <row r="182" ht="18.75" customHeight="1">
      <c r="A182" s="112" t="s">
        <v>201</v>
      </c>
      <c r="B182" s="48">
        <f>SUM(B163:B181)</f>
        <v>78500</v>
      </c>
      <c r="C182" s="46"/>
      <c r="D182" s="48">
        <f>SUM(D163:D181)</f>
        <v>17000</v>
      </c>
      <c r="E182" s="113"/>
      <c r="F182" s="46"/>
      <c r="G182" s="114">
        <f t="shared" ref="G182:I182" si="36">SUM(G163:G181)</f>
        <v>1771.666667</v>
      </c>
      <c r="H182" s="115">
        <f t="shared" si="36"/>
        <v>39.37037037</v>
      </c>
      <c r="I182" s="109">
        <f t="shared" si="36"/>
        <v>0.4026515152</v>
      </c>
      <c r="J182" s="11"/>
      <c r="K182" s="11"/>
      <c r="L182" s="11"/>
      <c r="M182" s="11"/>
      <c r="N182" s="11"/>
      <c r="O182" s="11"/>
      <c r="P182" s="11"/>
      <c r="Q182" s="11"/>
      <c r="R182" s="11"/>
      <c r="S182" s="11"/>
      <c r="T182" s="11"/>
      <c r="U182" s="11"/>
      <c r="V182" s="11"/>
      <c r="W182" s="11"/>
      <c r="X182" s="11"/>
      <c r="Y182" s="11"/>
      <c r="Z182" s="11"/>
    </row>
    <row r="183" ht="18.75" customHeight="1">
      <c r="A183" s="11" t="s">
        <v>217</v>
      </c>
      <c r="B183" s="12"/>
      <c r="C183" s="12"/>
      <c r="D183" s="12" t="s">
        <v>171</v>
      </c>
      <c r="E183" s="86">
        <v>0.01</v>
      </c>
      <c r="F183" s="12"/>
      <c r="G183" s="48">
        <f>((B182+D182)/2)*E183</f>
        <v>477.5</v>
      </c>
      <c r="H183" s="58">
        <f>G183/$H$8</f>
        <v>10.61111111</v>
      </c>
      <c r="I183" s="50">
        <f>G183/($I$12)</f>
        <v>0.1085227273</v>
      </c>
      <c r="J183" s="12"/>
      <c r="K183" s="12"/>
      <c r="L183" s="12"/>
      <c r="M183" s="12"/>
      <c r="N183" s="12"/>
      <c r="O183" s="12"/>
      <c r="P183" s="12"/>
      <c r="Q183" s="12"/>
      <c r="R183" s="12"/>
      <c r="S183" s="12"/>
      <c r="T183" s="12"/>
      <c r="U183" s="12"/>
      <c r="V183" s="12"/>
      <c r="W183" s="12"/>
      <c r="X183" s="12"/>
      <c r="Y183" s="12"/>
      <c r="Z183" s="12"/>
    </row>
    <row r="184" ht="18.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ht="18.75" customHeight="1">
      <c r="A185" s="17" t="s">
        <v>218</v>
      </c>
      <c r="B185" s="18"/>
      <c r="C185" s="51"/>
      <c r="D185" s="51"/>
      <c r="E185" s="51"/>
      <c r="F185" s="51"/>
      <c r="G185" s="51"/>
      <c r="H185" s="51"/>
      <c r="I185" s="51"/>
      <c r="J185" s="12"/>
      <c r="K185" s="12"/>
      <c r="L185" s="12"/>
      <c r="M185" s="12"/>
      <c r="N185" s="12"/>
      <c r="O185" s="12"/>
      <c r="P185" s="12"/>
      <c r="Q185" s="12"/>
      <c r="R185" s="12"/>
      <c r="S185" s="12"/>
      <c r="T185" s="12"/>
      <c r="U185" s="12"/>
      <c r="V185" s="12"/>
      <c r="W185" s="12"/>
      <c r="X185" s="12"/>
      <c r="Y185" s="12"/>
      <c r="Z185" s="12"/>
    </row>
    <row r="186" ht="56.25" customHeight="1">
      <c r="A186" s="56" t="s">
        <v>137</v>
      </c>
      <c r="B186" s="57" t="s">
        <v>219</v>
      </c>
      <c r="C186" s="57" t="s">
        <v>220</v>
      </c>
      <c r="D186" s="57"/>
      <c r="E186" s="57" t="s">
        <v>207</v>
      </c>
      <c r="F186" s="57" t="s">
        <v>208</v>
      </c>
      <c r="G186" s="57" t="s">
        <v>209</v>
      </c>
      <c r="H186" s="20" t="s">
        <v>90</v>
      </c>
      <c r="I186" s="57" t="s">
        <v>91</v>
      </c>
      <c r="J186" s="55"/>
      <c r="K186" s="55"/>
      <c r="L186" s="55"/>
      <c r="M186" s="55"/>
      <c r="N186" s="55"/>
      <c r="O186" s="55"/>
      <c r="P186" s="55"/>
      <c r="Q186" s="55"/>
      <c r="R186" s="55"/>
      <c r="S186" s="55"/>
      <c r="T186" s="55"/>
      <c r="U186" s="55"/>
      <c r="V186" s="55"/>
      <c r="W186" s="55"/>
      <c r="X186" s="55"/>
      <c r="Y186" s="55"/>
      <c r="Z186" s="55"/>
    </row>
    <row r="187" ht="18.75" customHeight="1">
      <c r="A187" s="23" t="s">
        <v>221</v>
      </c>
      <c r="B187" s="24">
        <v>25000.0</v>
      </c>
      <c r="C187" s="23">
        <v>30.0</v>
      </c>
      <c r="D187" s="22"/>
      <c r="E187" s="26">
        <f t="shared" ref="E187:E196" si="37">IFERROR(B187/C187,"")</f>
        <v>833.3333333</v>
      </c>
      <c r="F187" s="71">
        <v>0.2</v>
      </c>
      <c r="G187" s="26">
        <f t="shared" ref="G187:G196" si="38">IFERROR(E187*F187,"")</f>
        <v>166.6666667</v>
      </c>
      <c r="H187" s="27">
        <f t="shared" ref="H187:H196" si="39">IFERROR(G187/$H$8,"")</f>
        <v>3.703703704</v>
      </c>
      <c r="I187" s="28">
        <f t="shared" ref="I187:I196" si="40">IFERROR(G187/$I$12,"")</f>
        <v>0.03787878788</v>
      </c>
      <c r="J187" s="12"/>
      <c r="K187" s="12"/>
      <c r="L187" s="12"/>
      <c r="M187" s="12"/>
      <c r="N187" s="12"/>
      <c r="O187" s="12"/>
      <c r="P187" s="12"/>
      <c r="Q187" s="12"/>
      <c r="R187" s="12"/>
      <c r="S187" s="12"/>
      <c r="T187" s="12"/>
      <c r="U187" s="12"/>
      <c r="V187" s="12"/>
      <c r="W187" s="12"/>
      <c r="X187" s="12"/>
      <c r="Y187" s="12"/>
      <c r="Z187" s="12"/>
    </row>
    <row r="188" ht="18.75" customHeight="1">
      <c r="A188" s="23" t="s">
        <v>222</v>
      </c>
      <c r="B188" s="24">
        <v>29000.0</v>
      </c>
      <c r="C188" s="23">
        <v>25.0</v>
      </c>
      <c r="D188" s="22"/>
      <c r="E188" s="26">
        <f t="shared" si="37"/>
        <v>1160</v>
      </c>
      <c r="F188" s="71">
        <v>0.5</v>
      </c>
      <c r="G188" s="26">
        <f t="shared" si="38"/>
        <v>580</v>
      </c>
      <c r="H188" s="27">
        <f t="shared" si="39"/>
        <v>12.88888889</v>
      </c>
      <c r="I188" s="28">
        <f t="shared" si="40"/>
        <v>0.1318181818</v>
      </c>
      <c r="J188" s="12"/>
      <c r="K188" s="12"/>
      <c r="L188" s="12"/>
      <c r="M188" s="12"/>
      <c r="N188" s="12"/>
      <c r="O188" s="12"/>
      <c r="P188" s="12"/>
      <c r="Q188" s="12"/>
      <c r="R188" s="12"/>
      <c r="S188" s="12"/>
      <c r="T188" s="12"/>
      <c r="U188" s="12"/>
      <c r="V188" s="12"/>
      <c r="W188" s="12"/>
      <c r="X188" s="12"/>
      <c r="Y188" s="12"/>
      <c r="Z188" s="12"/>
    </row>
    <row r="189" ht="18.75" customHeight="1">
      <c r="A189" s="23" t="s">
        <v>223</v>
      </c>
      <c r="B189" s="24">
        <v>40000.0</v>
      </c>
      <c r="C189" s="23">
        <v>25.0</v>
      </c>
      <c r="D189" s="22"/>
      <c r="E189" s="26">
        <f t="shared" si="37"/>
        <v>1600</v>
      </c>
      <c r="F189" s="71">
        <v>0.25</v>
      </c>
      <c r="G189" s="26">
        <f t="shared" si="38"/>
        <v>400</v>
      </c>
      <c r="H189" s="27">
        <f t="shared" si="39"/>
        <v>8.888888889</v>
      </c>
      <c r="I189" s="28">
        <f t="shared" si="40"/>
        <v>0.09090909091</v>
      </c>
      <c r="J189" s="12"/>
      <c r="K189" s="12"/>
      <c r="L189" s="12"/>
      <c r="M189" s="12"/>
      <c r="N189" s="12"/>
      <c r="O189" s="12"/>
      <c r="P189" s="12"/>
      <c r="Q189" s="12"/>
      <c r="R189" s="12"/>
      <c r="S189" s="12"/>
      <c r="T189" s="12"/>
      <c r="U189" s="12"/>
      <c r="V189" s="12"/>
      <c r="W189" s="12"/>
      <c r="X189" s="12"/>
      <c r="Y189" s="12"/>
      <c r="Z189" s="12"/>
    </row>
    <row r="190" ht="18.75" customHeight="1">
      <c r="A190" s="23"/>
      <c r="B190" s="24"/>
      <c r="C190" s="23"/>
      <c r="D190" s="22"/>
      <c r="E190" s="26" t="str">
        <f t="shared" si="37"/>
        <v/>
      </c>
      <c r="F190" s="71"/>
      <c r="G190" s="26">
        <f t="shared" si="38"/>
        <v>0</v>
      </c>
      <c r="H190" s="27">
        <f t="shared" si="39"/>
        <v>0</v>
      </c>
      <c r="I190" s="28">
        <f t="shared" si="40"/>
        <v>0</v>
      </c>
      <c r="J190" s="12"/>
      <c r="K190" s="12"/>
      <c r="L190" s="12"/>
      <c r="M190" s="12"/>
      <c r="N190" s="12"/>
      <c r="O190" s="12"/>
      <c r="P190" s="12"/>
      <c r="Q190" s="12"/>
      <c r="R190" s="12"/>
      <c r="S190" s="12"/>
      <c r="T190" s="12"/>
      <c r="U190" s="12"/>
      <c r="V190" s="12"/>
      <c r="W190" s="12"/>
      <c r="X190" s="12"/>
      <c r="Y190" s="12"/>
      <c r="Z190" s="12"/>
    </row>
    <row r="191" ht="18.75" customHeight="1">
      <c r="A191" s="23"/>
      <c r="B191" s="24"/>
      <c r="C191" s="23"/>
      <c r="D191" s="22"/>
      <c r="E191" s="26" t="str">
        <f t="shared" si="37"/>
        <v/>
      </c>
      <c r="F191" s="71"/>
      <c r="G191" s="26">
        <f t="shared" si="38"/>
        <v>0</v>
      </c>
      <c r="H191" s="27">
        <f t="shared" si="39"/>
        <v>0</v>
      </c>
      <c r="I191" s="28">
        <f t="shared" si="40"/>
        <v>0</v>
      </c>
      <c r="J191" s="12"/>
      <c r="K191" s="12"/>
      <c r="L191" s="12"/>
      <c r="M191" s="12"/>
      <c r="N191" s="12"/>
      <c r="O191" s="12"/>
      <c r="P191" s="12"/>
      <c r="Q191" s="12"/>
      <c r="R191" s="12"/>
      <c r="S191" s="12"/>
      <c r="T191" s="12"/>
      <c r="U191" s="12"/>
      <c r="V191" s="12"/>
      <c r="W191" s="12"/>
      <c r="X191" s="12"/>
      <c r="Y191" s="12"/>
      <c r="Z191" s="12"/>
    </row>
    <row r="192" ht="18.75" customHeight="1">
      <c r="A192" s="23"/>
      <c r="B192" s="24"/>
      <c r="C192" s="23"/>
      <c r="D192" s="22"/>
      <c r="E192" s="26" t="str">
        <f t="shared" si="37"/>
        <v/>
      </c>
      <c r="F192" s="71"/>
      <c r="G192" s="26">
        <f t="shared" si="38"/>
        <v>0</v>
      </c>
      <c r="H192" s="27">
        <f t="shared" si="39"/>
        <v>0</v>
      </c>
      <c r="I192" s="28">
        <f t="shared" si="40"/>
        <v>0</v>
      </c>
      <c r="J192" s="12"/>
      <c r="K192" s="12"/>
      <c r="L192" s="12"/>
      <c r="M192" s="12"/>
      <c r="N192" s="12"/>
      <c r="O192" s="12"/>
      <c r="P192" s="12"/>
      <c r="Q192" s="12"/>
      <c r="R192" s="12"/>
      <c r="S192" s="12"/>
      <c r="T192" s="12"/>
      <c r="U192" s="12"/>
      <c r="V192" s="12"/>
      <c r="W192" s="12"/>
      <c r="X192" s="12"/>
      <c r="Y192" s="12"/>
      <c r="Z192" s="12"/>
    </row>
    <row r="193" ht="18.75" customHeight="1">
      <c r="A193" s="23"/>
      <c r="B193" s="24"/>
      <c r="C193" s="23"/>
      <c r="D193" s="22"/>
      <c r="E193" s="26" t="str">
        <f t="shared" si="37"/>
        <v/>
      </c>
      <c r="F193" s="71"/>
      <c r="G193" s="26">
        <f t="shared" si="38"/>
        <v>0</v>
      </c>
      <c r="H193" s="27">
        <f t="shared" si="39"/>
        <v>0</v>
      </c>
      <c r="I193" s="28">
        <f t="shared" si="40"/>
        <v>0</v>
      </c>
      <c r="J193" s="12"/>
      <c r="K193" s="12"/>
      <c r="L193" s="12"/>
      <c r="M193" s="12"/>
      <c r="N193" s="12"/>
      <c r="O193" s="12"/>
      <c r="P193" s="12"/>
      <c r="Q193" s="12"/>
      <c r="R193" s="12"/>
      <c r="S193" s="12"/>
      <c r="T193" s="12"/>
      <c r="U193" s="12"/>
      <c r="V193" s="12"/>
      <c r="W193" s="12"/>
      <c r="X193" s="12"/>
      <c r="Y193" s="12"/>
      <c r="Z193" s="12"/>
    </row>
    <row r="194" ht="18.75" customHeight="1">
      <c r="A194" s="23"/>
      <c r="B194" s="24"/>
      <c r="C194" s="23"/>
      <c r="D194" s="22"/>
      <c r="E194" s="26" t="str">
        <f t="shared" si="37"/>
        <v/>
      </c>
      <c r="F194" s="71"/>
      <c r="G194" s="26">
        <f t="shared" si="38"/>
        <v>0</v>
      </c>
      <c r="H194" s="27">
        <f t="shared" si="39"/>
        <v>0</v>
      </c>
      <c r="I194" s="28">
        <f t="shared" si="40"/>
        <v>0</v>
      </c>
      <c r="J194" s="12"/>
      <c r="K194" s="12"/>
      <c r="L194" s="12"/>
      <c r="M194" s="12"/>
      <c r="N194" s="12"/>
      <c r="O194" s="12"/>
      <c r="P194" s="12"/>
      <c r="Q194" s="12"/>
      <c r="R194" s="12"/>
      <c r="S194" s="12"/>
      <c r="T194" s="12"/>
      <c r="U194" s="12"/>
      <c r="V194" s="12"/>
      <c r="W194" s="12"/>
      <c r="X194" s="12"/>
      <c r="Y194" s="12"/>
      <c r="Z194" s="12"/>
    </row>
    <row r="195" ht="18.75" customHeight="1">
      <c r="A195" s="23"/>
      <c r="B195" s="24"/>
      <c r="C195" s="23"/>
      <c r="D195" s="33"/>
      <c r="E195" s="26" t="str">
        <f t="shared" si="37"/>
        <v/>
      </c>
      <c r="F195" s="71"/>
      <c r="G195" s="26">
        <f t="shared" si="38"/>
        <v>0</v>
      </c>
      <c r="H195" s="27">
        <f t="shared" si="39"/>
        <v>0</v>
      </c>
      <c r="I195" s="28">
        <f t="shared" si="40"/>
        <v>0</v>
      </c>
      <c r="J195" s="12"/>
      <c r="K195" s="12"/>
      <c r="L195" s="12"/>
      <c r="M195" s="12"/>
      <c r="N195" s="12"/>
      <c r="O195" s="12"/>
      <c r="P195" s="12"/>
      <c r="Q195" s="12"/>
      <c r="R195" s="12"/>
      <c r="S195" s="12"/>
      <c r="T195" s="12"/>
      <c r="U195" s="12"/>
      <c r="V195" s="12"/>
      <c r="W195" s="12"/>
      <c r="X195" s="12"/>
      <c r="Y195" s="12"/>
      <c r="Z195" s="12"/>
    </row>
    <row r="196" ht="18.75" customHeight="1">
      <c r="A196" s="23"/>
      <c r="B196" s="45"/>
      <c r="C196" s="101"/>
      <c r="D196" s="22"/>
      <c r="E196" s="116" t="str">
        <f t="shared" si="37"/>
        <v/>
      </c>
      <c r="F196" s="71"/>
      <c r="G196" s="26">
        <f t="shared" si="38"/>
        <v>0</v>
      </c>
      <c r="H196" s="27">
        <f t="shared" si="39"/>
        <v>0</v>
      </c>
      <c r="I196" s="28">
        <f t="shared" si="40"/>
        <v>0</v>
      </c>
      <c r="J196" s="12"/>
      <c r="K196" s="12"/>
      <c r="L196" s="12"/>
      <c r="M196" s="12"/>
      <c r="N196" s="12"/>
      <c r="O196" s="12"/>
      <c r="P196" s="12"/>
      <c r="Q196" s="12"/>
      <c r="R196" s="12"/>
      <c r="S196" s="12"/>
      <c r="T196" s="12"/>
      <c r="U196" s="12"/>
      <c r="V196" s="12"/>
      <c r="W196" s="12"/>
      <c r="X196" s="12"/>
      <c r="Y196" s="12"/>
      <c r="Z196" s="12"/>
    </row>
    <row r="197" ht="18.75" customHeight="1">
      <c r="A197" s="112" t="s">
        <v>224</v>
      </c>
      <c r="B197" s="48">
        <f>SUM(B187:B196)</f>
        <v>94000</v>
      </c>
      <c r="C197" s="46"/>
      <c r="D197" s="46"/>
      <c r="E197" s="117"/>
      <c r="F197" s="47"/>
      <c r="G197" s="114">
        <f t="shared" ref="G197:I197" si="41">SUM(G187:G196)</f>
        <v>1146.666667</v>
      </c>
      <c r="H197" s="108">
        <f t="shared" si="41"/>
        <v>25.48148148</v>
      </c>
      <c r="I197" s="109">
        <f t="shared" si="41"/>
        <v>0.2606060606</v>
      </c>
      <c r="J197" s="11"/>
      <c r="K197" s="11"/>
      <c r="L197" s="11"/>
      <c r="M197" s="11"/>
      <c r="N197" s="11"/>
      <c r="O197" s="11"/>
      <c r="P197" s="11"/>
      <c r="Q197" s="11"/>
      <c r="R197" s="11"/>
      <c r="S197" s="11"/>
      <c r="T197" s="11"/>
      <c r="U197" s="11"/>
      <c r="V197" s="11"/>
      <c r="W197" s="11"/>
      <c r="X197" s="11"/>
      <c r="Y197" s="11"/>
      <c r="Z197" s="11"/>
    </row>
    <row r="198" ht="18.75" customHeight="1">
      <c r="A198" s="11" t="s">
        <v>225</v>
      </c>
      <c r="B198" s="16"/>
      <c r="C198" s="11"/>
      <c r="D198" s="11" t="s">
        <v>226</v>
      </c>
      <c r="E198" s="86">
        <v>0.01</v>
      </c>
      <c r="F198" s="11"/>
      <c r="G198" s="48">
        <f>(B197/2)*E198</f>
        <v>470</v>
      </c>
      <c r="H198" s="58">
        <f>G198/$H$8</f>
        <v>10.44444444</v>
      </c>
      <c r="I198" s="85">
        <f>G198/($I$12)</f>
        <v>0.1068181818</v>
      </c>
      <c r="J198" s="11"/>
      <c r="K198" s="11"/>
      <c r="L198" s="11"/>
      <c r="M198" s="11"/>
      <c r="N198" s="11"/>
      <c r="O198" s="11"/>
      <c r="P198" s="11"/>
      <c r="Q198" s="11"/>
      <c r="R198" s="11"/>
      <c r="S198" s="11"/>
      <c r="T198" s="11"/>
      <c r="U198" s="11"/>
      <c r="V198" s="11"/>
      <c r="W198" s="11"/>
      <c r="X198" s="11"/>
      <c r="Y198" s="11"/>
      <c r="Z198" s="11"/>
    </row>
    <row r="199" ht="18.75" customHeight="1">
      <c r="A199" s="11"/>
      <c r="B199" s="16"/>
      <c r="C199" s="11"/>
      <c r="D199" s="11"/>
      <c r="E199" s="16"/>
      <c r="F199" s="11"/>
      <c r="G199" s="16"/>
      <c r="H199" s="16"/>
      <c r="I199" s="16"/>
      <c r="J199" s="11"/>
      <c r="K199" s="11"/>
      <c r="L199" s="11"/>
      <c r="M199" s="11"/>
      <c r="N199" s="11"/>
      <c r="O199" s="11"/>
      <c r="P199" s="11"/>
      <c r="Q199" s="11"/>
      <c r="R199" s="11"/>
      <c r="S199" s="11"/>
      <c r="T199" s="11"/>
      <c r="U199" s="11"/>
      <c r="V199" s="11"/>
      <c r="W199" s="11"/>
      <c r="X199" s="11"/>
      <c r="Y199" s="11"/>
      <c r="Z199" s="11"/>
    </row>
    <row r="200" ht="18.75" customHeight="1">
      <c r="A200" s="17" t="s">
        <v>67</v>
      </c>
      <c r="B200" s="51"/>
      <c r="C200" s="51"/>
      <c r="D200" s="51"/>
      <c r="E200" s="51"/>
      <c r="F200" s="51"/>
      <c r="G200" s="19"/>
      <c r="H200" s="19"/>
      <c r="I200" s="19"/>
      <c r="J200" s="12"/>
      <c r="K200" s="12"/>
      <c r="L200" s="12"/>
      <c r="M200" s="12"/>
      <c r="N200" s="12"/>
      <c r="O200" s="12"/>
      <c r="P200" s="12"/>
      <c r="Q200" s="12"/>
      <c r="R200" s="12"/>
      <c r="S200" s="12"/>
      <c r="T200" s="12"/>
      <c r="U200" s="12"/>
      <c r="V200" s="12"/>
      <c r="W200" s="12"/>
      <c r="X200" s="12"/>
      <c r="Y200" s="12"/>
      <c r="Z200" s="12"/>
    </row>
    <row r="201" ht="37.5" customHeight="1">
      <c r="A201" s="118" t="s">
        <v>137</v>
      </c>
      <c r="B201" s="12"/>
      <c r="C201" s="12"/>
      <c r="D201" s="12"/>
      <c r="E201" s="119" t="s">
        <v>227</v>
      </c>
      <c r="F201" s="119" t="s">
        <v>228</v>
      </c>
      <c r="G201" s="119" t="s">
        <v>209</v>
      </c>
      <c r="H201" s="120" t="s">
        <v>90</v>
      </c>
      <c r="I201" s="119" t="s">
        <v>91</v>
      </c>
      <c r="J201" s="12"/>
      <c r="K201" s="12"/>
      <c r="L201" s="12"/>
      <c r="M201" s="12"/>
      <c r="N201" s="12"/>
      <c r="O201" s="12"/>
      <c r="P201" s="12"/>
      <c r="Q201" s="12"/>
      <c r="R201" s="12"/>
      <c r="S201" s="12"/>
      <c r="T201" s="12"/>
      <c r="U201" s="12"/>
      <c r="V201" s="12"/>
      <c r="W201" s="12"/>
      <c r="X201" s="12"/>
      <c r="Y201" s="12"/>
      <c r="Z201" s="12"/>
    </row>
    <row r="202" ht="18.75" customHeight="1">
      <c r="A202" s="72" t="s">
        <v>229</v>
      </c>
      <c r="B202" s="30"/>
      <c r="C202" s="30"/>
      <c r="D202" s="32"/>
      <c r="E202" s="24">
        <v>1328.0</v>
      </c>
      <c r="F202" s="71">
        <v>0.2</v>
      </c>
      <c r="G202" s="26">
        <f t="shared" ref="G202:G203" si="42">E202*F202</f>
        <v>265.6</v>
      </c>
      <c r="H202" s="121">
        <f t="shared" ref="H202:H203" si="43">IFERROR(G202/$H$8,"")</f>
        <v>5.902222222</v>
      </c>
      <c r="I202" s="28">
        <f>G202/I12</f>
        <v>0.06036363636</v>
      </c>
      <c r="J202" s="12"/>
      <c r="K202" s="12"/>
      <c r="L202" s="12"/>
      <c r="M202" s="12"/>
      <c r="N202" s="12"/>
      <c r="O202" s="12"/>
      <c r="P202" s="12"/>
      <c r="Q202" s="12"/>
      <c r="R202" s="12"/>
      <c r="S202" s="12"/>
      <c r="T202" s="12"/>
      <c r="U202" s="12"/>
      <c r="V202" s="12"/>
      <c r="W202" s="12"/>
      <c r="X202" s="12"/>
      <c r="Y202" s="12"/>
      <c r="Z202" s="12"/>
    </row>
    <row r="203" ht="18.75" customHeight="1">
      <c r="A203" s="72" t="s">
        <v>230</v>
      </c>
      <c r="B203" s="30"/>
      <c r="C203" s="30"/>
      <c r="D203" s="32"/>
      <c r="E203" s="24">
        <v>2500.0</v>
      </c>
      <c r="F203" s="71">
        <v>0.2</v>
      </c>
      <c r="G203" s="26">
        <f t="shared" si="42"/>
        <v>500</v>
      </c>
      <c r="H203" s="121">
        <f t="shared" si="43"/>
        <v>11.11111111</v>
      </c>
      <c r="I203" s="28">
        <f>G203/I12</f>
        <v>0.1136363636</v>
      </c>
      <c r="J203" s="12"/>
      <c r="K203" s="12"/>
      <c r="L203" s="12"/>
      <c r="M203" s="12"/>
      <c r="N203" s="12"/>
      <c r="O203" s="12"/>
      <c r="P203" s="12"/>
      <c r="Q203" s="12"/>
      <c r="R203" s="12"/>
      <c r="S203" s="12"/>
      <c r="T203" s="12"/>
      <c r="U203" s="12"/>
      <c r="V203" s="12"/>
      <c r="W203" s="12"/>
      <c r="X203" s="12"/>
      <c r="Y203" s="12"/>
      <c r="Z203" s="12"/>
    </row>
    <row r="204" ht="18.75" customHeight="1">
      <c r="A204" s="81" t="s">
        <v>231</v>
      </c>
      <c r="B204" s="30"/>
      <c r="C204" s="30"/>
      <c r="D204" s="30"/>
      <c r="E204" s="30"/>
      <c r="F204" s="32"/>
      <c r="G204" s="48">
        <f t="shared" ref="G204:I204" si="44">SUM(G202:G203)</f>
        <v>765.6</v>
      </c>
      <c r="H204" s="58">
        <f t="shared" si="44"/>
        <v>17.01333333</v>
      </c>
      <c r="I204" s="50">
        <f t="shared" si="44"/>
        <v>0.174</v>
      </c>
      <c r="J204" s="12"/>
      <c r="K204" s="12"/>
      <c r="L204" s="12"/>
      <c r="M204" s="12"/>
      <c r="N204" s="12"/>
      <c r="O204" s="12"/>
      <c r="P204" s="12"/>
      <c r="Q204" s="12"/>
      <c r="R204" s="12"/>
      <c r="S204" s="12"/>
      <c r="T204" s="12"/>
      <c r="U204" s="12"/>
      <c r="V204" s="12"/>
      <c r="W204" s="12"/>
      <c r="X204" s="12"/>
      <c r="Y204" s="12"/>
      <c r="Z204" s="12"/>
    </row>
    <row r="205" ht="18.75" customHeight="1">
      <c r="A205" s="82" t="s">
        <v>232</v>
      </c>
      <c r="B205" s="12"/>
      <c r="C205" s="12"/>
      <c r="D205" s="11" t="s">
        <v>226</v>
      </c>
      <c r="E205" s="86">
        <v>0.01</v>
      </c>
      <c r="F205" s="12"/>
      <c r="G205" s="48">
        <f>G204*E205</f>
        <v>7.656</v>
      </c>
      <c r="H205" s="58">
        <f>H204*E205</f>
        <v>0.1701333333</v>
      </c>
      <c r="I205" s="50">
        <f>I204*E205</f>
        <v>0.00174</v>
      </c>
      <c r="J205" s="12"/>
      <c r="K205" s="12"/>
      <c r="L205" s="12"/>
      <c r="M205" s="12"/>
      <c r="N205" s="12"/>
      <c r="O205" s="12"/>
      <c r="P205" s="12"/>
      <c r="Q205" s="12"/>
      <c r="R205" s="12"/>
      <c r="S205" s="12"/>
      <c r="T205" s="12"/>
      <c r="U205" s="12"/>
      <c r="V205" s="12"/>
      <c r="W205" s="12"/>
      <c r="X205" s="12"/>
      <c r="Y205" s="12"/>
      <c r="Z205" s="12"/>
    </row>
    <row r="206" ht="18.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ht="18.75" customHeight="1">
      <c r="A207" s="17" t="s">
        <v>69</v>
      </c>
      <c r="B207" s="51"/>
      <c r="C207" s="51"/>
      <c r="D207" s="51"/>
      <c r="E207" s="51"/>
      <c r="F207" s="51"/>
      <c r="G207" s="51"/>
      <c r="H207" s="51"/>
      <c r="I207" s="51"/>
      <c r="J207" s="12"/>
      <c r="K207" s="12"/>
      <c r="L207" s="12"/>
      <c r="M207" s="12"/>
      <c r="N207" s="12"/>
      <c r="O207" s="12"/>
      <c r="P207" s="12"/>
      <c r="Q207" s="12"/>
      <c r="R207" s="12"/>
      <c r="S207" s="12"/>
      <c r="T207" s="12"/>
      <c r="U207" s="12"/>
      <c r="V207" s="12"/>
      <c r="W207" s="12"/>
      <c r="X207" s="12"/>
      <c r="Y207" s="12"/>
      <c r="Z207" s="12"/>
    </row>
    <row r="208" ht="18.75" customHeight="1">
      <c r="A208" s="12"/>
      <c r="B208" s="12"/>
      <c r="C208" s="12"/>
      <c r="D208" s="122" t="s">
        <v>233</v>
      </c>
      <c r="E208" s="122" t="s">
        <v>234</v>
      </c>
      <c r="F208" s="123" t="s">
        <v>235</v>
      </c>
      <c r="G208" s="12"/>
      <c r="H208" s="12"/>
      <c r="I208" s="12"/>
      <c r="J208" s="12"/>
      <c r="K208" s="12"/>
      <c r="L208" s="12"/>
      <c r="M208" s="12"/>
      <c r="N208" s="12"/>
      <c r="O208" s="12"/>
      <c r="P208" s="12"/>
      <c r="Q208" s="12"/>
      <c r="R208" s="12"/>
      <c r="S208" s="12"/>
      <c r="T208" s="12"/>
      <c r="U208" s="12"/>
      <c r="V208" s="12"/>
      <c r="W208" s="12"/>
      <c r="X208" s="12"/>
      <c r="Y208" s="12"/>
      <c r="Z208" s="12"/>
    </row>
    <row r="209" ht="18.75" customHeight="1">
      <c r="A209" s="30" t="s">
        <v>236</v>
      </c>
      <c r="B209" s="30"/>
      <c r="C209" s="32"/>
      <c r="D209" s="23">
        <v>10.0</v>
      </c>
      <c r="E209" s="24">
        <v>2700.0</v>
      </c>
      <c r="F209" s="124">
        <v>0.01</v>
      </c>
      <c r="G209" s="26">
        <f>D209*E209*F209</f>
        <v>270</v>
      </c>
      <c r="H209" s="27">
        <f>G209/$H$8</f>
        <v>6</v>
      </c>
      <c r="I209" s="28">
        <f>G209/I12</f>
        <v>0.06136363636</v>
      </c>
      <c r="J209" s="12"/>
      <c r="K209" s="12"/>
      <c r="L209" s="12"/>
      <c r="M209" s="12"/>
      <c r="N209" s="12"/>
      <c r="O209" s="12"/>
      <c r="P209" s="12"/>
      <c r="Q209" s="12"/>
      <c r="R209" s="12"/>
      <c r="S209" s="12"/>
      <c r="T209" s="12"/>
      <c r="U209" s="12"/>
      <c r="V209" s="12"/>
      <c r="W209" s="12"/>
      <c r="X209" s="12"/>
      <c r="Y209" s="12"/>
      <c r="Z209" s="12"/>
    </row>
    <row r="210" ht="18.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ht="18.75" customHeight="1">
      <c r="A211" s="125" t="s">
        <v>237</v>
      </c>
      <c r="B211" s="126"/>
      <c r="C211" s="126"/>
      <c r="D211" s="126"/>
      <c r="E211" s="126"/>
      <c r="F211" s="126"/>
      <c r="G211" s="126"/>
      <c r="H211" s="126"/>
      <c r="I211" s="126"/>
      <c r="J211" s="12"/>
      <c r="K211" s="12"/>
      <c r="L211" s="12"/>
      <c r="M211" s="12"/>
      <c r="N211" s="12"/>
      <c r="O211" s="12"/>
      <c r="P211" s="12"/>
      <c r="Q211" s="12"/>
      <c r="R211" s="12"/>
      <c r="S211" s="12"/>
      <c r="T211" s="12"/>
      <c r="U211" s="12"/>
      <c r="V211" s="12"/>
      <c r="W211" s="12"/>
      <c r="X211" s="12"/>
      <c r="Y211" s="12"/>
      <c r="Z211" s="12"/>
    </row>
    <row r="212" ht="18.75" customHeight="1">
      <c r="A212" s="11" t="s">
        <v>238</v>
      </c>
      <c r="B212" s="12"/>
      <c r="C212" s="12"/>
      <c r="D212" s="12"/>
      <c r="E212" s="12"/>
      <c r="F212" s="12"/>
      <c r="G212" s="20" t="s">
        <v>239</v>
      </c>
      <c r="H212" s="20" t="s">
        <v>90</v>
      </c>
      <c r="I212" s="20" t="s">
        <v>91</v>
      </c>
      <c r="J212" s="12"/>
      <c r="K212" s="12"/>
      <c r="L212" s="12"/>
      <c r="M212" s="12"/>
      <c r="N212" s="12"/>
      <c r="O212" s="12"/>
      <c r="P212" s="12"/>
      <c r="Q212" s="12"/>
      <c r="R212" s="12"/>
      <c r="S212" s="12"/>
      <c r="T212" s="12"/>
      <c r="U212" s="12"/>
      <c r="V212" s="12"/>
      <c r="W212" s="12"/>
      <c r="X212" s="12"/>
      <c r="Y212" s="12"/>
      <c r="Z212" s="12"/>
    </row>
    <row r="213" ht="18.75" customHeight="1">
      <c r="A213" s="30" t="s">
        <v>240</v>
      </c>
      <c r="B213" s="30"/>
      <c r="C213" s="30"/>
      <c r="D213" s="30"/>
      <c r="E213" s="30"/>
      <c r="F213" s="32"/>
      <c r="G213" s="26">
        <f>G14+G15+G16+G17+G18</f>
        <v>12370</v>
      </c>
      <c r="H213" s="27">
        <f t="shared" ref="H213:H216" si="45">G213/$H$8</f>
        <v>274.8888889</v>
      </c>
      <c r="I213" s="28">
        <f>G213/I12</f>
        <v>2.811363636</v>
      </c>
      <c r="J213" s="12"/>
      <c r="K213" s="12"/>
      <c r="L213" s="12"/>
      <c r="M213" s="12"/>
      <c r="N213" s="12"/>
      <c r="O213" s="12"/>
      <c r="P213" s="12"/>
      <c r="Q213" s="12"/>
      <c r="R213" s="12"/>
      <c r="S213" s="12"/>
      <c r="T213" s="12"/>
      <c r="U213" s="12"/>
      <c r="V213" s="12"/>
      <c r="W213" s="12"/>
      <c r="X213" s="12"/>
      <c r="Y213" s="12"/>
      <c r="Z213" s="12"/>
    </row>
    <row r="214" ht="18.75" customHeight="1">
      <c r="A214" s="30" t="s">
        <v>241</v>
      </c>
      <c r="B214" s="30"/>
      <c r="C214" s="30"/>
      <c r="D214" s="30"/>
      <c r="E214" s="30"/>
      <c r="F214" s="32"/>
      <c r="G214" s="26">
        <f>G19+G20</f>
        <v>918</v>
      </c>
      <c r="H214" s="27">
        <f t="shared" si="45"/>
        <v>20.4</v>
      </c>
      <c r="I214" s="28">
        <f>G214/I12</f>
        <v>0.2086363636</v>
      </c>
      <c r="J214" s="12"/>
      <c r="K214" s="12"/>
      <c r="L214" s="12"/>
      <c r="M214" s="12"/>
      <c r="N214" s="12"/>
      <c r="O214" s="12"/>
      <c r="P214" s="12"/>
      <c r="Q214" s="12"/>
      <c r="R214" s="12"/>
      <c r="S214" s="12"/>
      <c r="T214" s="12"/>
      <c r="U214" s="12"/>
      <c r="V214" s="12"/>
      <c r="W214" s="12"/>
      <c r="X214" s="12"/>
      <c r="Y214" s="12"/>
      <c r="Z214" s="12"/>
    </row>
    <row r="215" ht="18.75" customHeight="1">
      <c r="A215" s="30" t="s">
        <v>242</v>
      </c>
      <c r="B215" s="30"/>
      <c r="C215" s="30"/>
      <c r="D215" s="30"/>
      <c r="E215" s="30"/>
      <c r="F215" s="32"/>
      <c r="G215" s="26">
        <f>G22+G23</f>
        <v>1806</v>
      </c>
      <c r="H215" s="27">
        <f t="shared" si="45"/>
        <v>40.13333333</v>
      </c>
      <c r="I215" s="28">
        <f>G215/I12</f>
        <v>0.4104545455</v>
      </c>
      <c r="J215" s="12"/>
      <c r="K215" s="12"/>
      <c r="L215" s="12"/>
      <c r="M215" s="12"/>
      <c r="N215" s="12"/>
      <c r="O215" s="12"/>
      <c r="P215" s="12"/>
      <c r="Q215" s="12"/>
      <c r="R215" s="12"/>
      <c r="S215" s="12"/>
      <c r="T215" s="12"/>
      <c r="U215" s="12"/>
      <c r="V215" s="12"/>
      <c r="W215" s="12"/>
      <c r="X215" s="12"/>
      <c r="Y215" s="12"/>
      <c r="Z215" s="12"/>
    </row>
    <row r="216" ht="18.75" customHeight="1">
      <c r="A216" s="30" t="s">
        <v>243</v>
      </c>
      <c r="B216" s="30"/>
      <c r="C216" s="30"/>
      <c r="D216" s="30"/>
      <c r="E216" s="30"/>
      <c r="F216" s="32"/>
      <c r="G216" s="26">
        <f t="shared" ref="G216:G217" si="46">G24</f>
        <v>0</v>
      </c>
      <c r="H216" s="27">
        <f t="shared" si="45"/>
        <v>0</v>
      </c>
      <c r="I216" s="28">
        <f>G216/I12</f>
        <v>0</v>
      </c>
      <c r="J216" s="12"/>
      <c r="K216" s="12"/>
      <c r="L216" s="12"/>
      <c r="M216" s="12"/>
      <c r="N216" s="12"/>
      <c r="O216" s="12"/>
      <c r="P216" s="12"/>
      <c r="Q216" s="12"/>
      <c r="R216" s="12"/>
      <c r="S216" s="12"/>
      <c r="T216" s="12"/>
      <c r="U216" s="12"/>
      <c r="V216" s="12"/>
      <c r="W216" s="12"/>
      <c r="X216" s="12"/>
      <c r="Y216" s="12"/>
      <c r="Z216" s="12"/>
    </row>
    <row r="217" ht="18.75" customHeight="1">
      <c r="A217" s="112" t="s">
        <v>103</v>
      </c>
      <c r="B217" s="46"/>
      <c r="C217" s="46"/>
      <c r="D217" s="46"/>
      <c r="E217" s="46"/>
      <c r="F217" s="47"/>
      <c r="G217" s="127">
        <f t="shared" si="46"/>
        <v>15094</v>
      </c>
      <c r="H217" s="128">
        <f t="shared" ref="H217:I217" si="47">H25</f>
        <v>335.4222222</v>
      </c>
      <c r="I217" s="129">
        <f t="shared" si="47"/>
        <v>3.430454545</v>
      </c>
      <c r="J217" s="11"/>
      <c r="K217" s="11"/>
      <c r="L217" s="11"/>
      <c r="M217" s="11"/>
      <c r="N217" s="11"/>
      <c r="O217" s="11"/>
      <c r="P217" s="11"/>
      <c r="Q217" s="11"/>
      <c r="R217" s="11"/>
      <c r="S217" s="11"/>
      <c r="T217" s="11"/>
      <c r="U217" s="11"/>
      <c r="V217" s="11"/>
      <c r="W217" s="11"/>
      <c r="X217" s="11"/>
      <c r="Y217" s="11"/>
      <c r="Z217" s="11"/>
    </row>
    <row r="218" ht="18.75" customHeight="1">
      <c r="A218" s="11"/>
      <c r="B218" s="11"/>
      <c r="C218" s="11"/>
      <c r="D218" s="11"/>
      <c r="E218" s="11"/>
      <c r="F218" s="11"/>
      <c r="G218" s="16"/>
      <c r="H218" s="16"/>
      <c r="I218" s="16"/>
      <c r="J218" s="11"/>
      <c r="K218" s="11"/>
      <c r="L218" s="11"/>
      <c r="M218" s="11"/>
      <c r="N218" s="11"/>
      <c r="O218" s="11"/>
      <c r="P218" s="11"/>
      <c r="Q218" s="11"/>
      <c r="R218" s="11"/>
      <c r="S218" s="11"/>
      <c r="T218" s="11"/>
      <c r="U218" s="11"/>
      <c r="V218" s="11"/>
      <c r="W218" s="11"/>
      <c r="X218" s="11"/>
      <c r="Y218" s="11"/>
      <c r="Z218" s="11"/>
    </row>
    <row r="219" ht="18.75" customHeight="1">
      <c r="A219" s="11" t="s">
        <v>244</v>
      </c>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8.75" customHeight="1">
      <c r="A220" s="99" t="s">
        <v>19</v>
      </c>
      <c r="B220" s="30"/>
      <c r="C220" s="30"/>
      <c r="D220" s="30"/>
      <c r="E220" s="30"/>
      <c r="F220" s="32"/>
      <c r="G220" s="26">
        <f t="shared" ref="G220:I220" si="48">G42</f>
        <v>5930</v>
      </c>
      <c r="H220" s="27">
        <f t="shared" si="48"/>
        <v>131.7777778</v>
      </c>
      <c r="I220" s="28">
        <f t="shared" si="48"/>
        <v>1.347727273</v>
      </c>
      <c r="J220" s="12"/>
      <c r="K220" s="12"/>
      <c r="L220" s="12"/>
      <c r="M220" s="12"/>
      <c r="N220" s="12"/>
      <c r="O220" s="12"/>
      <c r="P220" s="12"/>
      <c r="Q220" s="12"/>
      <c r="R220" s="12"/>
      <c r="S220" s="12"/>
      <c r="T220" s="12"/>
      <c r="U220" s="12"/>
      <c r="V220" s="12"/>
      <c r="W220" s="12"/>
      <c r="X220" s="12"/>
      <c r="Y220" s="12"/>
      <c r="Z220" s="12"/>
    </row>
    <row r="221" ht="18.75" customHeight="1">
      <c r="A221" s="99" t="s">
        <v>25</v>
      </c>
      <c r="B221" s="30"/>
      <c r="C221" s="30"/>
      <c r="D221" s="30"/>
      <c r="E221" s="30"/>
      <c r="F221" s="32"/>
      <c r="G221" s="26">
        <f t="shared" ref="G221:I221" si="49">G56</f>
        <v>3062.2</v>
      </c>
      <c r="H221" s="27">
        <f t="shared" si="49"/>
        <v>68.04888889</v>
      </c>
      <c r="I221" s="28">
        <f t="shared" si="49"/>
        <v>0.6959545455</v>
      </c>
      <c r="J221" s="12"/>
      <c r="K221" s="12"/>
      <c r="L221" s="12"/>
      <c r="M221" s="12"/>
      <c r="N221" s="12"/>
      <c r="O221" s="12"/>
      <c r="P221" s="12"/>
      <c r="Q221" s="12"/>
      <c r="R221" s="12"/>
      <c r="S221" s="12"/>
      <c r="T221" s="12"/>
      <c r="U221" s="12"/>
      <c r="V221" s="12"/>
      <c r="W221" s="12"/>
      <c r="X221" s="12"/>
      <c r="Y221" s="12"/>
      <c r="Z221" s="12"/>
    </row>
    <row r="222" ht="18.75" customHeight="1">
      <c r="A222" s="29" t="s">
        <v>29</v>
      </c>
      <c r="B222" s="30"/>
      <c r="C222" s="30"/>
      <c r="D222" s="30"/>
      <c r="E222" s="30"/>
      <c r="F222" s="32"/>
      <c r="G222" s="26">
        <f t="shared" ref="G222:I222" si="50">G65</f>
        <v>890</v>
      </c>
      <c r="H222" s="27">
        <f t="shared" si="50"/>
        <v>19.77777778</v>
      </c>
      <c r="I222" s="28">
        <f t="shared" si="50"/>
        <v>0.2022727273</v>
      </c>
      <c r="J222" s="12"/>
      <c r="K222" s="12"/>
      <c r="L222" s="12"/>
      <c r="M222" s="12"/>
      <c r="N222" s="12"/>
      <c r="O222" s="12"/>
      <c r="P222" s="12"/>
      <c r="Q222" s="12"/>
      <c r="R222" s="12"/>
      <c r="S222" s="12"/>
      <c r="T222" s="12"/>
      <c r="U222" s="12"/>
      <c r="V222" s="12"/>
      <c r="W222" s="12"/>
      <c r="X222" s="12"/>
      <c r="Y222" s="12"/>
      <c r="Z222" s="12"/>
    </row>
    <row r="223" ht="18.75" customHeight="1">
      <c r="A223" s="99" t="s">
        <v>136</v>
      </c>
      <c r="B223" s="30"/>
      <c r="C223" s="30"/>
      <c r="D223" s="30"/>
      <c r="E223" s="30"/>
      <c r="F223" s="32"/>
      <c r="G223" s="26">
        <f t="shared" ref="G223:I223" si="51">G84</f>
        <v>590</v>
      </c>
      <c r="H223" s="27">
        <f t="shared" si="51"/>
        <v>13.11111111</v>
      </c>
      <c r="I223" s="28">
        <f t="shared" si="51"/>
        <v>0.1340909091</v>
      </c>
      <c r="J223" s="12"/>
      <c r="K223" s="12"/>
      <c r="L223" s="12"/>
      <c r="M223" s="12"/>
      <c r="N223" s="12"/>
      <c r="O223" s="12"/>
      <c r="P223" s="12"/>
      <c r="Q223" s="12"/>
      <c r="R223" s="12"/>
      <c r="S223" s="12"/>
      <c r="T223" s="12"/>
      <c r="U223" s="12"/>
      <c r="V223" s="12"/>
      <c r="W223" s="12"/>
      <c r="X223" s="12"/>
      <c r="Y223" s="12"/>
      <c r="Z223" s="12"/>
    </row>
    <row r="224" ht="18.75" customHeight="1">
      <c r="A224" s="99" t="s">
        <v>38</v>
      </c>
      <c r="B224" s="30"/>
      <c r="C224" s="30"/>
      <c r="D224" s="30"/>
      <c r="E224" s="30"/>
      <c r="F224" s="32"/>
      <c r="G224" s="26">
        <f t="shared" ref="G224:I224" si="52">G98</f>
        <v>697</v>
      </c>
      <c r="H224" s="27">
        <f t="shared" si="52"/>
        <v>15.48888889</v>
      </c>
      <c r="I224" s="28">
        <f t="shared" si="52"/>
        <v>0.1584090909</v>
      </c>
      <c r="J224" s="12"/>
      <c r="K224" s="12"/>
      <c r="L224" s="12"/>
      <c r="M224" s="12"/>
      <c r="N224" s="12"/>
      <c r="O224" s="12"/>
      <c r="P224" s="12"/>
      <c r="Q224" s="12"/>
      <c r="R224" s="12"/>
      <c r="S224" s="12"/>
      <c r="T224" s="12"/>
      <c r="U224" s="12"/>
      <c r="V224" s="12"/>
      <c r="W224" s="12"/>
      <c r="X224" s="12"/>
      <c r="Y224" s="12"/>
      <c r="Z224" s="12"/>
    </row>
    <row r="225" ht="18.75" customHeight="1">
      <c r="A225" s="29" t="s">
        <v>245</v>
      </c>
      <c r="B225" s="30"/>
      <c r="C225" s="30"/>
      <c r="D225" s="30"/>
      <c r="E225" s="30"/>
      <c r="F225" s="32"/>
      <c r="G225" s="26">
        <f t="shared" ref="G225:I225" si="53">G119</f>
        <v>1627.1</v>
      </c>
      <c r="H225" s="27">
        <f t="shared" si="53"/>
        <v>36.15777778</v>
      </c>
      <c r="I225" s="28">
        <f t="shared" si="53"/>
        <v>0.3697954545</v>
      </c>
      <c r="J225" s="12"/>
      <c r="K225" s="12"/>
      <c r="L225" s="12"/>
      <c r="M225" s="12"/>
      <c r="N225" s="12"/>
      <c r="O225" s="12"/>
      <c r="P225" s="12"/>
      <c r="Q225" s="12"/>
      <c r="R225" s="12"/>
      <c r="S225" s="12"/>
      <c r="T225" s="12"/>
      <c r="U225" s="12"/>
      <c r="V225" s="12"/>
      <c r="W225" s="12"/>
      <c r="X225" s="12"/>
      <c r="Y225" s="12"/>
      <c r="Z225" s="12"/>
    </row>
    <row r="226" ht="18.75" customHeight="1">
      <c r="A226" s="30" t="s">
        <v>246</v>
      </c>
      <c r="B226" s="30"/>
      <c r="C226" s="30"/>
      <c r="D226" s="30"/>
      <c r="E226" s="30"/>
      <c r="F226" s="32"/>
      <c r="G226" s="26">
        <f t="shared" ref="G226:I226" si="54">G123</f>
        <v>127.963</v>
      </c>
      <c r="H226" s="27">
        <f t="shared" si="54"/>
        <v>2.843622222</v>
      </c>
      <c r="I226" s="28">
        <f t="shared" si="54"/>
        <v>0.0290825</v>
      </c>
      <c r="J226" s="12"/>
      <c r="K226" s="12"/>
      <c r="L226" s="12"/>
      <c r="M226" s="12"/>
      <c r="N226" s="12"/>
      <c r="O226" s="12"/>
      <c r="P226" s="12"/>
      <c r="Q226" s="12"/>
      <c r="R226" s="12"/>
      <c r="S226" s="12"/>
      <c r="T226" s="12"/>
      <c r="U226" s="12"/>
      <c r="V226" s="12"/>
      <c r="W226" s="12"/>
      <c r="X226" s="12"/>
      <c r="Y226" s="12"/>
      <c r="Z226" s="12"/>
    </row>
    <row r="227" ht="18.75" customHeight="1">
      <c r="A227" s="46" t="s">
        <v>169</v>
      </c>
      <c r="B227" s="46"/>
      <c r="C227" s="46"/>
      <c r="D227" s="46"/>
      <c r="E227" s="46"/>
      <c r="F227" s="47"/>
      <c r="G227" s="48">
        <f t="shared" ref="G227:I227" si="55">SUM(G220:G226)</f>
        <v>12924.263</v>
      </c>
      <c r="H227" s="58">
        <f t="shared" si="55"/>
        <v>287.2058444</v>
      </c>
      <c r="I227" s="50">
        <f t="shared" si="55"/>
        <v>2.9373325</v>
      </c>
      <c r="J227" s="11"/>
      <c r="K227" s="11"/>
      <c r="L227" s="11"/>
      <c r="M227" s="11"/>
      <c r="N227" s="11"/>
      <c r="O227" s="11"/>
      <c r="P227" s="11"/>
      <c r="Q227" s="11"/>
      <c r="R227" s="11"/>
      <c r="S227" s="11"/>
      <c r="T227" s="11"/>
      <c r="U227" s="11"/>
      <c r="V227" s="11"/>
      <c r="W227" s="11"/>
      <c r="X227" s="11"/>
      <c r="Y227" s="11"/>
      <c r="Z227" s="11"/>
    </row>
    <row r="228" ht="18.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ht="18.75" customHeight="1">
      <c r="A229" s="112" t="s">
        <v>247</v>
      </c>
      <c r="B229" s="46"/>
      <c r="C229" s="46"/>
      <c r="D229" s="46"/>
      <c r="E229" s="46"/>
      <c r="F229" s="47"/>
      <c r="G229" s="130">
        <f t="shared" ref="G229:I229" si="56">G217-G227</f>
        <v>2169.737</v>
      </c>
      <c r="H229" s="131">
        <f t="shared" si="56"/>
        <v>48.21637778</v>
      </c>
      <c r="I229" s="132">
        <f t="shared" si="56"/>
        <v>0.4931220455</v>
      </c>
      <c r="J229" s="11"/>
      <c r="K229" s="11"/>
      <c r="L229" s="11"/>
      <c r="M229" s="11"/>
      <c r="N229" s="11"/>
      <c r="O229" s="11"/>
      <c r="P229" s="11"/>
      <c r="Q229" s="11"/>
      <c r="R229" s="11"/>
      <c r="S229" s="11"/>
      <c r="T229" s="11"/>
      <c r="U229" s="11"/>
      <c r="V229" s="11"/>
      <c r="W229" s="11"/>
      <c r="X229" s="11"/>
      <c r="Y229" s="11"/>
      <c r="Z229" s="11"/>
    </row>
    <row r="230" ht="18.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ht="18.75" customHeight="1">
      <c r="A231" s="11" t="s">
        <v>248</v>
      </c>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ht="18.75" customHeight="1">
      <c r="A232" s="30" t="s">
        <v>249</v>
      </c>
      <c r="B232" s="30"/>
      <c r="C232" s="30"/>
      <c r="D232" s="30"/>
      <c r="E232" s="30"/>
      <c r="F232" s="32"/>
      <c r="G232" s="26">
        <f t="shared" ref="G232:I232" si="57">G204</f>
        <v>765.6</v>
      </c>
      <c r="H232" s="27">
        <f t="shared" si="57"/>
        <v>17.01333333</v>
      </c>
      <c r="I232" s="28">
        <f t="shared" si="57"/>
        <v>0.174</v>
      </c>
      <c r="J232" s="12"/>
      <c r="K232" s="12"/>
      <c r="L232" s="12"/>
      <c r="M232" s="12"/>
      <c r="N232" s="12"/>
      <c r="O232" s="12"/>
      <c r="P232" s="12"/>
      <c r="Q232" s="12"/>
      <c r="R232" s="12"/>
      <c r="S232" s="12"/>
      <c r="T232" s="12"/>
      <c r="U232" s="12"/>
      <c r="V232" s="12"/>
      <c r="W232" s="12"/>
      <c r="X232" s="12"/>
      <c r="Y232" s="12"/>
      <c r="Z232" s="12"/>
    </row>
    <row r="233" ht="18.75" customHeight="1">
      <c r="A233" s="46" t="s">
        <v>250</v>
      </c>
      <c r="B233" s="30"/>
      <c r="C233" s="30"/>
      <c r="D233" s="30"/>
      <c r="E233" s="30"/>
      <c r="F233" s="32"/>
      <c r="G233" s="26">
        <f t="shared" ref="G233:I233" si="58">G154</f>
        <v>331.6666667</v>
      </c>
      <c r="H233" s="27">
        <f t="shared" si="58"/>
        <v>7.37037037</v>
      </c>
      <c r="I233" s="28">
        <f t="shared" si="58"/>
        <v>0.07537878788</v>
      </c>
      <c r="J233" s="12"/>
      <c r="K233" s="12"/>
      <c r="L233" s="12"/>
      <c r="M233" s="12"/>
      <c r="N233" s="12"/>
      <c r="O233" s="12"/>
      <c r="P233" s="12"/>
      <c r="Q233" s="12"/>
      <c r="R233" s="12"/>
      <c r="S233" s="12"/>
      <c r="T233" s="12"/>
      <c r="U233" s="12"/>
      <c r="V233" s="12"/>
      <c r="W233" s="12"/>
      <c r="X233" s="12"/>
      <c r="Y233" s="12"/>
      <c r="Z233" s="12"/>
    </row>
    <row r="234" ht="18.75" customHeight="1">
      <c r="A234" s="30" t="s">
        <v>251</v>
      </c>
      <c r="B234" s="30"/>
      <c r="C234" s="30"/>
      <c r="D234" s="30"/>
      <c r="E234" s="30"/>
      <c r="F234" s="32"/>
      <c r="G234" s="95">
        <f t="shared" ref="G234:I234" si="59">G182</f>
        <v>1771.666667</v>
      </c>
      <c r="H234" s="133">
        <f t="shared" si="59"/>
        <v>39.37037037</v>
      </c>
      <c r="I234" s="134">
        <f t="shared" si="59"/>
        <v>0.4026515152</v>
      </c>
      <c r="J234" s="12"/>
      <c r="K234" s="12"/>
      <c r="L234" s="12"/>
      <c r="M234" s="12"/>
      <c r="N234" s="12"/>
      <c r="O234" s="12"/>
      <c r="P234" s="12"/>
      <c r="Q234" s="12"/>
      <c r="R234" s="12"/>
      <c r="S234" s="12"/>
      <c r="T234" s="12"/>
      <c r="U234" s="12"/>
      <c r="V234" s="12"/>
      <c r="W234" s="12"/>
      <c r="X234" s="12"/>
      <c r="Y234" s="12"/>
      <c r="Z234" s="12"/>
    </row>
    <row r="235" ht="18.75" customHeight="1">
      <c r="A235" s="30" t="s">
        <v>252</v>
      </c>
      <c r="B235" s="30"/>
      <c r="C235" s="30"/>
      <c r="D235" s="30"/>
      <c r="E235" s="30"/>
      <c r="F235" s="32"/>
      <c r="G235" s="26">
        <f t="shared" ref="G235:I235" si="60">G197</f>
        <v>1146.666667</v>
      </c>
      <c r="H235" s="27">
        <f t="shared" si="60"/>
        <v>25.48148148</v>
      </c>
      <c r="I235" s="28">
        <f t="shared" si="60"/>
        <v>0.2606060606</v>
      </c>
      <c r="J235" s="12"/>
      <c r="K235" s="12"/>
      <c r="L235" s="12"/>
      <c r="M235" s="12"/>
      <c r="N235" s="12"/>
      <c r="O235" s="12"/>
      <c r="P235" s="12"/>
      <c r="Q235" s="12"/>
      <c r="R235" s="12"/>
      <c r="S235" s="12"/>
      <c r="T235" s="12"/>
      <c r="U235" s="12"/>
      <c r="V235" s="12"/>
      <c r="W235" s="12"/>
      <c r="X235" s="12"/>
      <c r="Y235" s="12"/>
      <c r="Z235" s="12"/>
    </row>
    <row r="236" ht="18.75" customHeight="1">
      <c r="A236" s="135" t="s">
        <v>253</v>
      </c>
      <c r="B236" s="135"/>
      <c r="C236" s="135"/>
      <c r="D236" s="135"/>
      <c r="E236" s="135"/>
      <c r="F236" s="135"/>
      <c r="G236" s="26">
        <f t="shared" ref="G236:I236" si="61">G137+G155+G183+G198+G205+G209</f>
        <v>1346.356</v>
      </c>
      <c r="H236" s="27">
        <f t="shared" si="61"/>
        <v>29.91902222</v>
      </c>
      <c r="I236" s="28">
        <f t="shared" si="61"/>
        <v>0.30599</v>
      </c>
      <c r="J236" s="12"/>
      <c r="K236" s="12"/>
      <c r="L236" s="12"/>
      <c r="M236" s="12"/>
      <c r="N236" s="12"/>
      <c r="O236" s="12"/>
      <c r="P236" s="12"/>
      <c r="Q236" s="12"/>
      <c r="R236" s="12"/>
      <c r="S236" s="12"/>
      <c r="T236" s="12"/>
      <c r="U236" s="12"/>
      <c r="V236" s="12"/>
      <c r="W236" s="12"/>
      <c r="X236" s="12"/>
      <c r="Y236" s="12"/>
      <c r="Z236" s="12"/>
    </row>
    <row r="237" ht="18.75" customHeight="1">
      <c r="A237" s="105" t="s">
        <v>254</v>
      </c>
      <c r="B237" s="105"/>
      <c r="C237" s="105"/>
      <c r="D237" s="105"/>
      <c r="E237" s="105"/>
      <c r="F237" s="105"/>
      <c r="G237" s="48">
        <f t="shared" ref="G237:I237" si="62">SUM(G232:G236)</f>
        <v>5361.956</v>
      </c>
      <c r="H237" s="58">
        <f t="shared" si="62"/>
        <v>119.1545778</v>
      </c>
      <c r="I237" s="50">
        <f t="shared" si="62"/>
        <v>1.218626364</v>
      </c>
      <c r="J237" s="11"/>
      <c r="K237" s="11"/>
      <c r="L237" s="11"/>
      <c r="M237" s="11"/>
      <c r="N237" s="11"/>
      <c r="O237" s="11"/>
      <c r="P237" s="11"/>
      <c r="Q237" s="11"/>
      <c r="R237" s="11"/>
      <c r="S237" s="11"/>
      <c r="T237" s="11"/>
      <c r="U237" s="11"/>
      <c r="V237" s="11"/>
      <c r="W237" s="11"/>
      <c r="X237" s="11"/>
      <c r="Y237" s="11"/>
      <c r="Z237" s="11"/>
    </row>
    <row r="238" ht="18.75" customHeight="1">
      <c r="A238" s="11"/>
      <c r="B238" s="11"/>
      <c r="C238" s="11"/>
      <c r="D238" s="11"/>
      <c r="E238" s="11"/>
      <c r="F238" s="11"/>
      <c r="G238" s="16"/>
      <c r="H238" s="16"/>
      <c r="I238" s="16"/>
      <c r="J238" s="11"/>
      <c r="K238" s="11"/>
      <c r="L238" s="11"/>
      <c r="M238" s="11"/>
      <c r="N238" s="11"/>
      <c r="O238" s="11"/>
      <c r="P238" s="11"/>
      <c r="Q238" s="11"/>
      <c r="R238" s="11"/>
      <c r="S238" s="11"/>
      <c r="T238" s="11"/>
      <c r="U238" s="11"/>
      <c r="V238" s="11"/>
      <c r="W238" s="11"/>
      <c r="X238" s="11"/>
      <c r="Y238" s="11"/>
      <c r="Z238" s="11"/>
    </row>
    <row r="239" ht="18.75" customHeight="1">
      <c r="A239" s="17" t="s">
        <v>255</v>
      </c>
      <c r="B239" s="17"/>
      <c r="C239" s="17"/>
      <c r="D239" s="17"/>
      <c r="E239" s="17"/>
      <c r="F239" s="17"/>
      <c r="G239" s="84"/>
      <c r="H239" s="84"/>
      <c r="I239" s="84"/>
      <c r="J239" s="11"/>
      <c r="K239" s="11"/>
      <c r="L239" s="11"/>
      <c r="M239" s="11"/>
      <c r="N239" s="11"/>
      <c r="O239" s="11"/>
      <c r="P239" s="11"/>
      <c r="Q239" s="11"/>
      <c r="R239" s="11"/>
      <c r="S239" s="11"/>
      <c r="T239" s="11"/>
      <c r="U239" s="11"/>
      <c r="V239" s="11"/>
      <c r="W239" s="11"/>
      <c r="X239" s="11"/>
      <c r="Y239" s="11"/>
      <c r="Z239" s="11"/>
    </row>
    <row r="240" ht="18.75" customHeight="1">
      <c r="A240" s="11" t="s">
        <v>256</v>
      </c>
      <c r="B240" s="11"/>
      <c r="C240" s="11"/>
      <c r="D240" s="11"/>
      <c r="E240" s="11"/>
      <c r="F240" s="11"/>
      <c r="G240" s="26">
        <f t="shared" ref="G240:I240" si="63">G25</f>
        <v>15094</v>
      </c>
      <c r="H240" s="27">
        <f t="shared" si="63"/>
        <v>335.4222222</v>
      </c>
      <c r="I240" s="136">
        <f t="shared" si="63"/>
        <v>3.430454545</v>
      </c>
      <c r="J240" s="11"/>
      <c r="K240" s="11"/>
      <c r="L240" s="11"/>
      <c r="M240" s="11"/>
      <c r="N240" s="11"/>
      <c r="O240" s="11"/>
      <c r="P240" s="11"/>
      <c r="Q240" s="11"/>
      <c r="R240" s="11"/>
      <c r="S240" s="11"/>
      <c r="T240" s="11"/>
      <c r="U240" s="11"/>
      <c r="V240" s="11"/>
      <c r="W240" s="11"/>
      <c r="X240" s="11"/>
      <c r="Y240" s="11"/>
      <c r="Z240" s="11"/>
    </row>
    <row r="241" ht="18.75" customHeight="1">
      <c r="A241" s="11" t="s">
        <v>257</v>
      </c>
      <c r="B241" s="11"/>
      <c r="C241" s="11"/>
      <c r="D241" s="11"/>
      <c r="E241" s="11"/>
      <c r="F241" s="11"/>
      <c r="G241" s="26">
        <f t="shared" ref="G241:I241" si="64">G42+G56+G98+G209</f>
        <v>9959.2</v>
      </c>
      <c r="H241" s="27">
        <f t="shared" si="64"/>
        <v>221.3155556</v>
      </c>
      <c r="I241" s="136">
        <f t="shared" si="64"/>
        <v>2.263454545</v>
      </c>
      <c r="J241" s="11"/>
      <c r="K241" s="11"/>
      <c r="L241" s="11"/>
      <c r="M241" s="11"/>
      <c r="N241" s="11"/>
      <c r="O241" s="11"/>
      <c r="P241" s="11"/>
      <c r="Q241" s="11"/>
      <c r="R241" s="11"/>
      <c r="S241" s="11"/>
      <c r="T241" s="11"/>
      <c r="U241" s="11"/>
      <c r="V241" s="11"/>
      <c r="W241" s="11"/>
      <c r="X241" s="11"/>
      <c r="Y241" s="11"/>
      <c r="Z241" s="11"/>
    </row>
    <row r="242" ht="18.75" customHeight="1">
      <c r="A242" s="11" t="s">
        <v>255</v>
      </c>
      <c r="B242" s="12"/>
      <c r="C242" s="12"/>
      <c r="D242" s="12"/>
      <c r="E242" s="12"/>
      <c r="F242" s="12"/>
      <c r="G242" s="48">
        <f t="shared" ref="G242:I242" si="65">G240-G241</f>
        <v>5134.8</v>
      </c>
      <c r="H242" s="58">
        <f t="shared" si="65"/>
        <v>114.1066667</v>
      </c>
      <c r="I242" s="137">
        <f t="shared" si="65"/>
        <v>1.167</v>
      </c>
      <c r="J242" s="12"/>
      <c r="K242" s="12"/>
      <c r="L242" s="12"/>
      <c r="M242" s="12"/>
      <c r="N242" s="12"/>
      <c r="O242" s="12"/>
      <c r="P242" s="12"/>
      <c r="Q242" s="12"/>
      <c r="R242" s="12"/>
      <c r="S242" s="12"/>
      <c r="T242" s="12"/>
      <c r="U242" s="12"/>
      <c r="V242" s="12"/>
      <c r="W242" s="12"/>
      <c r="X242" s="12"/>
      <c r="Y242" s="12"/>
      <c r="Z242" s="12"/>
    </row>
    <row r="243" ht="18.75" customHeight="1">
      <c r="A243" s="11"/>
      <c r="B243" s="11"/>
      <c r="C243" s="11"/>
      <c r="D243" s="11"/>
      <c r="E243" s="11"/>
      <c r="F243" s="11"/>
      <c r="G243" s="16"/>
      <c r="H243" s="16"/>
      <c r="I243" s="16"/>
      <c r="J243" s="11"/>
      <c r="K243" s="11"/>
      <c r="L243" s="11"/>
      <c r="M243" s="11"/>
      <c r="N243" s="11"/>
      <c r="O243" s="11"/>
      <c r="P243" s="11"/>
      <c r="Q243" s="11"/>
      <c r="R243" s="11"/>
      <c r="S243" s="11"/>
      <c r="T243" s="11"/>
      <c r="U243" s="11"/>
      <c r="V243" s="11"/>
      <c r="W243" s="11"/>
      <c r="X243" s="11"/>
      <c r="Y243" s="11"/>
      <c r="Z243" s="11"/>
    </row>
    <row r="244" ht="18.75" customHeight="1">
      <c r="A244" s="17" t="s">
        <v>258</v>
      </c>
      <c r="B244" s="18"/>
      <c r="C244" s="18"/>
      <c r="D244" s="18"/>
      <c r="E244" s="18"/>
      <c r="F244" s="18"/>
      <c r="G244" s="19"/>
      <c r="H244" s="19"/>
      <c r="I244" s="19"/>
      <c r="J244" s="11"/>
      <c r="K244" s="11"/>
      <c r="L244" s="11"/>
      <c r="M244" s="11"/>
      <c r="N244" s="11"/>
      <c r="O244" s="11"/>
      <c r="P244" s="11"/>
      <c r="Q244" s="11"/>
      <c r="R244" s="11"/>
      <c r="S244" s="11"/>
      <c r="T244" s="11"/>
      <c r="U244" s="11"/>
      <c r="V244" s="11"/>
      <c r="W244" s="11"/>
      <c r="X244" s="11"/>
      <c r="Y244" s="11"/>
      <c r="Z244" s="11"/>
    </row>
    <row r="245" ht="18.75" customHeight="1">
      <c r="A245" s="11"/>
      <c r="B245" s="11"/>
      <c r="C245" s="11"/>
      <c r="D245" s="11"/>
      <c r="E245" s="11"/>
      <c r="F245" s="11"/>
      <c r="G245" s="16"/>
      <c r="H245" s="16"/>
      <c r="I245" s="16"/>
      <c r="J245" s="11"/>
      <c r="K245" s="11"/>
      <c r="L245" s="11"/>
      <c r="M245" s="11"/>
      <c r="N245" s="11"/>
      <c r="O245" s="11"/>
      <c r="P245" s="11"/>
      <c r="Q245" s="11"/>
      <c r="R245" s="11"/>
      <c r="S245" s="11"/>
      <c r="T245" s="11"/>
      <c r="U245" s="11"/>
      <c r="V245" s="11"/>
      <c r="W245" s="11"/>
      <c r="X245" s="11"/>
      <c r="Y245" s="11"/>
      <c r="Z245" s="11"/>
    </row>
    <row r="246" ht="18.75" customHeight="1">
      <c r="A246" s="59" t="s">
        <v>259</v>
      </c>
      <c r="B246" s="89"/>
      <c r="C246" s="89"/>
      <c r="D246" s="89"/>
      <c r="E246" s="89"/>
      <c r="F246" s="89"/>
      <c r="G246" s="89"/>
      <c r="H246" s="89"/>
      <c r="I246" s="89"/>
      <c r="J246" s="12"/>
      <c r="K246" s="12"/>
      <c r="L246" s="12"/>
      <c r="M246" s="12"/>
      <c r="N246" s="12"/>
      <c r="O246" s="12"/>
      <c r="P246" s="12"/>
      <c r="Q246" s="12"/>
      <c r="R246" s="12"/>
      <c r="S246" s="12"/>
      <c r="T246" s="12"/>
      <c r="U246" s="12"/>
      <c r="V246" s="12"/>
      <c r="W246" s="12"/>
      <c r="X246" s="12"/>
      <c r="Y246" s="12"/>
      <c r="Z246" s="12"/>
    </row>
    <row r="247" ht="18.75" customHeight="1">
      <c r="A247" s="89" t="s">
        <v>260</v>
      </c>
      <c r="B247" s="10"/>
      <c r="C247" s="89"/>
      <c r="D247" s="89"/>
      <c r="E247" s="89"/>
      <c r="F247" s="89"/>
      <c r="G247" s="89"/>
      <c r="H247" s="89"/>
      <c r="I247" s="89"/>
      <c r="J247" s="12"/>
      <c r="K247" s="12"/>
      <c r="L247" s="12"/>
      <c r="M247" s="12"/>
      <c r="N247" s="12"/>
      <c r="O247" s="12"/>
      <c r="P247" s="12"/>
      <c r="Q247" s="12"/>
      <c r="R247" s="12"/>
      <c r="S247" s="12"/>
      <c r="T247" s="12"/>
      <c r="U247" s="12"/>
      <c r="V247" s="12"/>
      <c r="W247" s="12"/>
      <c r="X247" s="12"/>
      <c r="Y247" s="12"/>
      <c r="Z247" s="12"/>
    </row>
    <row r="248" ht="18.75" customHeight="1">
      <c r="A248" s="12"/>
      <c r="B248" s="138"/>
      <c r="C248" s="12"/>
      <c r="D248" s="12"/>
      <c r="E248" s="12"/>
      <c r="F248" s="12"/>
      <c r="G248" s="20" t="s">
        <v>239</v>
      </c>
      <c r="H248" s="20" t="s">
        <v>90</v>
      </c>
      <c r="I248" s="20" t="s">
        <v>91</v>
      </c>
      <c r="J248" s="12"/>
      <c r="K248" s="12"/>
      <c r="L248" s="12"/>
      <c r="M248" s="12"/>
      <c r="N248" s="12"/>
      <c r="O248" s="12"/>
      <c r="P248" s="12"/>
      <c r="Q248" s="12"/>
      <c r="R248" s="12"/>
      <c r="S248" s="12"/>
      <c r="T248" s="12"/>
      <c r="U248" s="12"/>
      <c r="V248" s="12"/>
      <c r="W248" s="12"/>
      <c r="X248" s="12"/>
      <c r="Y248" s="12"/>
      <c r="Z248" s="12"/>
    </row>
    <row r="249" ht="18.75" customHeight="1">
      <c r="A249" s="11" t="s">
        <v>261</v>
      </c>
      <c r="B249" s="11"/>
      <c r="C249" s="11"/>
      <c r="D249" s="11"/>
      <c r="E249" s="11"/>
      <c r="F249" s="11"/>
      <c r="G249" s="130">
        <f t="shared" ref="G249:I249" si="66">G229-G237</f>
        <v>-3192.219</v>
      </c>
      <c r="H249" s="131">
        <f t="shared" si="66"/>
        <v>-70.9382</v>
      </c>
      <c r="I249" s="132">
        <f t="shared" si="66"/>
        <v>-0.7255043182</v>
      </c>
      <c r="J249" s="11"/>
      <c r="K249" s="11"/>
      <c r="L249" s="11"/>
      <c r="M249" s="11"/>
      <c r="N249" s="11"/>
      <c r="O249" s="11"/>
      <c r="P249" s="11"/>
      <c r="Q249" s="11"/>
      <c r="R249" s="11"/>
      <c r="S249" s="11"/>
      <c r="T249" s="11"/>
      <c r="U249" s="11"/>
      <c r="V249" s="11"/>
      <c r="W249" s="11"/>
      <c r="X249" s="11"/>
      <c r="Y249" s="11"/>
      <c r="Z249" s="11"/>
    </row>
    <row r="250" ht="15.75" customHeight="1"/>
    <row r="251" ht="18.75" customHeight="1">
      <c r="A251" s="11" t="s">
        <v>262</v>
      </c>
      <c r="B251" s="11"/>
      <c r="C251" s="11"/>
      <c r="D251" s="11"/>
      <c r="E251" s="11"/>
      <c r="F251" s="11"/>
      <c r="G251" s="11"/>
      <c r="H251" s="58">
        <f t="shared" ref="H251:I251" si="67">H227+H237</f>
        <v>406.3604222</v>
      </c>
      <c r="I251" s="50">
        <f t="shared" si="67"/>
        <v>4.155958864</v>
      </c>
      <c r="J251" s="11"/>
      <c r="K251" s="11"/>
      <c r="L251" s="11"/>
      <c r="M251" s="11"/>
      <c r="N251" s="11"/>
      <c r="O251" s="11"/>
      <c r="P251" s="11"/>
      <c r="Q251" s="11"/>
      <c r="R251" s="11"/>
      <c r="S251" s="11"/>
      <c r="T251" s="11"/>
      <c r="U251" s="11"/>
      <c r="V251" s="11"/>
      <c r="W251" s="11"/>
      <c r="X251" s="11"/>
      <c r="Y251" s="11"/>
      <c r="Z251" s="11"/>
    </row>
    <row r="252" ht="18.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ht="18.75" customHeight="1">
      <c r="A253" s="11" t="s">
        <v>263</v>
      </c>
      <c r="B253" s="12"/>
      <c r="C253" s="12"/>
      <c r="D253" s="12"/>
      <c r="E253" s="12"/>
      <c r="F253" s="12"/>
      <c r="G253" s="12"/>
      <c r="H253" s="12"/>
      <c r="I253" s="50">
        <f>(I227+I237)-(I214+I216)</f>
        <v>3.9473225</v>
      </c>
      <c r="J253" s="12"/>
      <c r="K253" s="12"/>
      <c r="L253" s="12"/>
      <c r="M253" s="12"/>
      <c r="N253" s="12"/>
      <c r="O253" s="12"/>
      <c r="P253" s="12"/>
      <c r="Q253" s="12"/>
      <c r="R253" s="12"/>
      <c r="S253" s="12"/>
      <c r="T253" s="12"/>
      <c r="U253" s="12"/>
      <c r="V253" s="12"/>
      <c r="W253" s="12"/>
      <c r="X253" s="12"/>
      <c r="Y253" s="12"/>
      <c r="Z253" s="12"/>
    </row>
    <row r="254" ht="18.75" customHeight="1">
      <c r="A254" s="17" t="s">
        <v>264</v>
      </c>
      <c r="B254" s="83"/>
      <c r="C254" s="83"/>
      <c r="D254" s="83"/>
      <c r="E254" s="83"/>
      <c r="F254" s="83"/>
      <c r="G254" s="83"/>
      <c r="H254" s="83"/>
      <c r="I254" s="83"/>
      <c r="J254" s="12"/>
      <c r="K254" s="12"/>
      <c r="L254" s="12"/>
      <c r="M254" s="12"/>
      <c r="N254" s="12"/>
      <c r="O254" s="12"/>
      <c r="P254" s="12"/>
      <c r="Q254" s="12"/>
      <c r="R254" s="12"/>
      <c r="S254" s="12"/>
      <c r="T254" s="12"/>
      <c r="U254" s="12"/>
      <c r="V254" s="12"/>
      <c r="W254" s="12"/>
      <c r="X254" s="12"/>
      <c r="Y254" s="12"/>
      <c r="Z254" s="12"/>
    </row>
    <row r="255" ht="18.75" customHeight="1">
      <c r="A255" s="11" t="s">
        <v>265</v>
      </c>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8.75" customHeight="1">
      <c r="A256" s="12"/>
      <c r="B256" s="12"/>
      <c r="C256" s="139">
        <v>-0.15</v>
      </c>
      <c r="D256" s="139">
        <v>-0.1</v>
      </c>
      <c r="E256" s="139">
        <v>-0.05</v>
      </c>
      <c r="F256" s="140"/>
      <c r="G256" s="139">
        <v>0.05</v>
      </c>
      <c r="H256" s="139">
        <v>0.1</v>
      </c>
      <c r="I256" s="139">
        <v>0.15</v>
      </c>
      <c r="J256" s="12"/>
      <c r="K256" s="12"/>
      <c r="L256" s="12"/>
      <c r="M256" s="12"/>
      <c r="N256" s="12"/>
      <c r="O256" s="12"/>
      <c r="P256" s="12"/>
      <c r="Q256" s="12"/>
      <c r="R256" s="12"/>
      <c r="S256" s="12"/>
      <c r="T256" s="12"/>
      <c r="U256" s="12"/>
      <c r="V256" s="12"/>
      <c r="W256" s="12"/>
      <c r="X256" s="12"/>
      <c r="Y256" s="12"/>
      <c r="Z256" s="12"/>
    </row>
    <row r="257" ht="18.75" customHeight="1">
      <c r="A257" s="12"/>
      <c r="B257" s="22"/>
      <c r="C257" s="98">
        <f>F257*(1+C256)</f>
        <v>3.355224125</v>
      </c>
      <c r="D257" s="98">
        <f>F257*(1+D256)</f>
        <v>3.55259025</v>
      </c>
      <c r="E257" s="98">
        <f>F257*(1+E256)</f>
        <v>3.749956375</v>
      </c>
      <c r="F257" s="141">
        <f>I253</f>
        <v>3.9473225</v>
      </c>
      <c r="G257" s="98">
        <f>F257*(1+G256)</f>
        <v>4.144688625</v>
      </c>
      <c r="H257" s="98">
        <f>F257*(1+H256)</f>
        <v>4.34205475</v>
      </c>
      <c r="I257" s="98">
        <f>F257*(1+I256)</f>
        <v>4.539420875</v>
      </c>
      <c r="J257" s="12"/>
      <c r="K257" s="12"/>
      <c r="L257" s="12"/>
      <c r="M257" s="12"/>
      <c r="N257" s="12"/>
      <c r="O257" s="12"/>
      <c r="P257" s="12"/>
      <c r="Q257" s="12"/>
      <c r="R257" s="12"/>
      <c r="S257" s="12"/>
      <c r="T257" s="12"/>
      <c r="U257" s="12"/>
      <c r="V257" s="12"/>
      <c r="W257" s="12"/>
      <c r="X257" s="12"/>
      <c r="Y257" s="12"/>
      <c r="Z257" s="12"/>
    </row>
    <row r="258" ht="18.75" customHeight="1">
      <c r="A258" s="142">
        <v>-0.15</v>
      </c>
      <c r="B258" s="98">
        <f>B261*(1+A258)</f>
        <v>1.923936364</v>
      </c>
      <c r="C258" s="143">
        <f t="shared" ref="C258:C264" si="68">$C$257-(B258+$I$227+$I$237)+($I$19+$I$20+$I$24+$I$241)</f>
        <v>-0.2525801932</v>
      </c>
      <c r="D258" s="143">
        <f t="shared" ref="D258:D264" si="69">$D$257-(B258+$I$227+$I$237)+($I$19+$I$20+$I$24+$I$241)</f>
        <v>-0.05521406818</v>
      </c>
      <c r="E258" s="143">
        <f t="shared" ref="E258:E264" si="70">$E$257-(B258+$I$227+$I$237)+($I$19+$I$20+$I$24+$I$241)</f>
        <v>0.1421520568</v>
      </c>
      <c r="F258" s="143">
        <f>F257-($B$258+$I$227+$I$237)+($I$19+$I$20+$I$24+$I$241)</f>
        <v>0.3395181818</v>
      </c>
      <c r="G258" s="143">
        <f t="shared" ref="G258:G264" si="71">$G$257-(B258+$I$227+$I$237)+($I$19+$I$20+$I$24+$I$241)</f>
        <v>0.5368843068</v>
      </c>
      <c r="H258" s="143">
        <f t="shared" ref="H258:H264" si="72">$H$257-(B258+$I$227+$I$237)+($I$19+$I$20+$I$24+$I$241)</f>
        <v>0.7342504318</v>
      </c>
      <c r="I258" s="143">
        <f t="shared" ref="I258:I264" si="73">$I$257-(B258+$I$227+$I$237)+($I$19+$I$20+$I$24+$I$241)</f>
        <v>0.9316165568</v>
      </c>
      <c r="J258" s="12"/>
      <c r="K258" s="12"/>
      <c r="L258" s="12"/>
      <c r="M258" s="12"/>
      <c r="N258" s="12"/>
      <c r="O258" s="12"/>
      <c r="P258" s="12"/>
      <c r="Q258" s="12"/>
      <c r="R258" s="12"/>
      <c r="S258" s="12"/>
      <c r="T258" s="12"/>
      <c r="U258" s="12"/>
      <c r="V258" s="12"/>
      <c r="W258" s="12"/>
      <c r="X258" s="12"/>
      <c r="Y258" s="12"/>
      <c r="Z258" s="12"/>
    </row>
    <row r="259" ht="18.75" customHeight="1">
      <c r="A259" s="142">
        <v>-0.1</v>
      </c>
      <c r="B259" s="98">
        <f>B261*(1+A259)</f>
        <v>2.037109091</v>
      </c>
      <c r="C259" s="143">
        <f t="shared" si="68"/>
        <v>-0.3657529205</v>
      </c>
      <c r="D259" s="143">
        <f t="shared" si="69"/>
        <v>-0.1683867955</v>
      </c>
      <c r="E259" s="143">
        <f t="shared" si="70"/>
        <v>0.02897932955</v>
      </c>
      <c r="F259" s="143">
        <f>F257-($B$259+$I$227+$I$237)+($I$19+$I$20+$I$24+$I$241)</f>
        <v>0.2263454545</v>
      </c>
      <c r="G259" s="143">
        <f t="shared" si="71"/>
        <v>0.4237115795</v>
      </c>
      <c r="H259" s="143">
        <f t="shared" si="72"/>
        <v>0.6210777045</v>
      </c>
      <c r="I259" s="143">
        <f t="shared" si="73"/>
        <v>0.8184438295</v>
      </c>
      <c r="J259" s="12"/>
      <c r="K259" s="12"/>
      <c r="L259" s="12"/>
      <c r="M259" s="12"/>
      <c r="N259" s="12"/>
      <c r="O259" s="12"/>
      <c r="P259" s="12"/>
      <c r="Q259" s="12"/>
      <c r="R259" s="12"/>
      <c r="S259" s="12"/>
      <c r="T259" s="12"/>
      <c r="U259" s="12"/>
      <c r="V259" s="12"/>
      <c r="W259" s="12"/>
      <c r="X259" s="12"/>
      <c r="Y259" s="12"/>
      <c r="Z259" s="12"/>
    </row>
    <row r="260" ht="18.75" customHeight="1">
      <c r="A260" s="142">
        <v>-0.05</v>
      </c>
      <c r="B260" s="98">
        <f>B261*(1+A260)</f>
        <v>2.150281818</v>
      </c>
      <c r="C260" s="143">
        <f t="shared" si="68"/>
        <v>-0.4789256477</v>
      </c>
      <c r="D260" s="143">
        <f t="shared" si="69"/>
        <v>-0.2815595227</v>
      </c>
      <c r="E260" s="143">
        <f t="shared" si="70"/>
        <v>-0.08419339773</v>
      </c>
      <c r="F260" s="143">
        <f>F257-($B$260+$I$227+$I$237)+($I$19+$I$20+$I$24+$I$241)</f>
        <v>0.1131727273</v>
      </c>
      <c r="G260" s="143">
        <f t="shared" si="71"/>
        <v>0.3105388523</v>
      </c>
      <c r="H260" s="143">
        <f t="shared" si="72"/>
        <v>0.5079049773</v>
      </c>
      <c r="I260" s="143">
        <f t="shared" si="73"/>
        <v>0.7052711023</v>
      </c>
      <c r="J260" s="12"/>
      <c r="K260" s="12"/>
      <c r="L260" s="12"/>
      <c r="M260" s="12"/>
      <c r="N260" s="12"/>
      <c r="O260" s="12"/>
      <c r="P260" s="12"/>
      <c r="Q260" s="12"/>
      <c r="R260" s="12"/>
      <c r="S260" s="12"/>
      <c r="T260" s="12"/>
      <c r="U260" s="12"/>
      <c r="V260" s="12"/>
      <c r="W260" s="12"/>
      <c r="X260" s="12"/>
      <c r="Y260" s="12"/>
      <c r="Z260" s="12"/>
    </row>
    <row r="261" ht="18.75" customHeight="1">
      <c r="A261" s="144"/>
      <c r="B261" s="141">
        <f>I241</f>
        <v>2.263454545</v>
      </c>
      <c r="C261" s="143">
        <f t="shared" si="68"/>
        <v>-0.592098375</v>
      </c>
      <c r="D261" s="143">
        <f t="shared" si="69"/>
        <v>-0.39473225</v>
      </c>
      <c r="E261" s="143">
        <f t="shared" si="70"/>
        <v>-0.197366125</v>
      </c>
      <c r="F261" s="141">
        <f t="shared" ref="F261:F264" si="74">$F$257-(B261+$I$227+$I$237)+($I$19+$I$20+$I$24+$I$241)</f>
        <v>0</v>
      </c>
      <c r="G261" s="143">
        <f t="shared" si="71"/>
        <v>0.197366125</v>
      </c>
      <c r="H261" s="143">
        <f t="shared" si="72"/>
        <v>0.39473225</v>
      </c>
      <c r="I261" s="143">
        <f t="shared" si="73"/>
        <v>0.592098375</v>
      </c>
      <c r="J261" s="12"/>
      <c r="K261" s="12"/>
      <c r="L261" s="12"/>
      <c r="M261" s="12"/>
      <c r="N261" s="12"/>
      <c r="O261" s="12"/>
      <c r="P261" s="12"/>
      <c r="Q261" s="12"/>
      <c r="R261" s="12"/>
      <c r="S261" s="12"/>
      <c r="T261" s="12"/>
      <c r="U261" s="12"/>
      <c r="V261" s="12"/>
      <c r="W261" s="12"/>
      <c r="X261" s="12"/>
      <c r="Y261" s="12"/>
      <c r="Z261" s="12"/>
    </row>
    <row r="262" ht="18.75" customHeight="1">
      <c r="A262" s="142">
        <v>0.05</v>
      </c>
      <c r="B262" s="98">
        <f>B261*(1+A262)</f>
        <v>2.376627273</v>
      </c>
      <c r="C262" s="143">
        <f t="shared" si="68"/>
        <v>-0.7052711023</v>
      </c>
      <c r="D262" s="143">
        <f t="shared" si="69"/>
        <v>-0.5079049773</v>
      </c>
      <c r="E262" s="143">
        <f t="shared" si="70"/>
        <v>-0.3105388523</v>
      </c>
      <c r="F262" s="143">
        <f t="shared" si="74"/>
        <v>-0.1131727273</v>
      </c>
      <c r="G262" s="143">
        <f t="shared" si="71"/>
        <v>0.08419339773</v>
      </c>
      <c r="H262" s="143">
        <f t="shared" si="72"/>
        <v>0.2815595227</v>
      </c>
      <c r="I262" s="143">
        <f t="shared" si="73"/>
        <v>0.4789256477</v>
      </c>
      <c r="J262" s="12"/>
      <c r="K262" s="12"/>
      <c r="L262" s="12"/>
      <c r="M262" s="12"/>
      <c r="N262" s="12"/>
      <c r="O262" s="12"/>
      <c r="P262" s="12"/>
      <c r="Q262" s="12"/>
      <c r="R262" s="12"/>
      <c r="S262" s="12"/>
      <c r="T262" s="12"/>
      <c r="U262" s="12"/>
      <c r="V262" s="12"/>
      <c r="W262" s="12"/>
      <c r="X262" s="12"/>
      <c r="Y262" s="12"/>
      <c r="Z262" s="12"/>
    </row>
    <row r="263" ht="18.75" customHeight="1">
      <c r="A263" s="142">
        <v>0.1</v>
      </c>
      <c r="B263" s="98">
        <f>B261*(1+A263)</f>
        <v>2.4898</v>
      </c>
      <c r="C263" s="143">
        <f t="shared" si="68"/>
        <v>-0.8184438295</v>
      </c>
      <c r="D263" s="143">
        <f t="shared" si="69"/>
        <v>-0.6210777045</v>
      </c>
      <c r="E263" s="143">
        <f t="shared" si="70"/>
        <v>-0.4237115795</v>
      </c>
      <c r="F263" s="143">
        <f t="shared" si="74"/>
        <v>-0.2263454545</v>
      </c>
      <c r="G263" s="143">
        <f t="shared" si="71"/>
        <v>-0.02897932955</v>
      </c>
      <c r="H263" s="143">
        <f t="shared" si="72"/>
        <v>0.1683867955</v>
      </c>
      <c r="I263" s="143">
        <f t="shared" si="73"/>
        <v>0.3657529205</v>
      </c>
      <c r="J263" s="12"/>
      <c r="K263" s="12"/>
      <c r="L263" s="12"/>
      <c r="M263" s="12"/>
      <c r="N263" s="12"/>
      <c r="O263" s="12"/>
      <c r="P263" s="12"/>
      <c r="Q263" s="12"/>
      <c r="R263" s="12"/>
      <c r="S263" s="12"/>
      <c r="T263" s="12"/>
      <c r="U263" s="12"/>
      <c r="V263" s="12"/>
      <c r="W263" s="12"/>
      <c r="X263" s="12"/>
      <c r="Y263" s="12"/>
      <c r="Z263" s="12"/>
    </row>
    <row r="264" ht="18.75" customHeight="1">
      <c r="A264" s="142">
        <v>0.15</v>
      </c>
      <c r="B264" s="98">
        <f>B261*(1+A264)</f>
        <v>2.602972727</v>
      </c>
      <c r="C264" s="143">
        <f t="shared" si="68"/>
        <v>-0.9316165568</v>
      </c>
      <c r="D264" s="143">
        <f t="shared" si="69"/>
        <v>-0.7342504318</v>
      </c>
      <c r="E264" s="143">
        <f t="shared" si="70"/>
        <v>-0.5368843068</v>
      </c>
      <c r="F264" s="143">
        <f t="shared" si="74"/>
        <v>-0.3395181818</v>
      </c>
      <c r="G264" s="143">
        <f t="shared" si="71"/>
        <v>-0.1421520568</v>
      </c>
      <c r="H264" s="143">
        <f t="shared" si="72"/>
        <v>0.05521406818</v>
      </c>
      <c r="I264" s="143">
        <f t="shared" si="73"/>
        <v>0.2525801932</v>
      </c>
      <c r="J264" s="12"/>
      <c r="K264" s="12"/>
      <c r="L264" s="12"/>
      <c r="M264" s="12"/>
      <c r="N264" s="12"/>
      <c r="O264" s="12"/>
      <c r="P264" s="12"/>
      <c r="Q264" s="12"/>
      <c r="R264" s="12"/>
      <c r="S264" s="12"/>
      <c r="T264" s="12"/>
      <c r="U264" s="12"/>
      <c r="V264" s="12"/>
      <c r="W264" s="12"/>
      <c r="X264" s="12"/>
      <c r="Y264" s="12"/>
      <c r="Z264" s="12"/>
    </row>
    <row r="265" ht="18.75" customHeight="1">
      <c r="A265" s="145"/>
      <c r="B265" s="16"/>
      <c r="C265" s="146"/>
      <c r="D265" s="146"/>
      <c r="E265" s="146"/>
      <c r="F265" s="146"/>
      <c r="G265" s="146"/>
      <c r="H265" s="146"/>
      <c r="I265" s="146"/>
      <c r="J265" s="12"/>
      <c r="K265" s="12"/>
      <c r="L265" s="12"/>
      <c r="M265" s="12"/>
      <c r="N265" s="12"/>
      <c r="O265" s="12"/>
      <c r="P265" s="12"/>
      <c r="Q265" s="12"/>
      <c r="R265" s="12"/>
      <c r="S265" s="12"/>
      <c r="T265" s="12"/>
      <c r="U265" s="12"/>
      <c r="V265" s="12"/>
      <c r="W265" s="12"/>
      <c r="X265" s="12"/>
      <c r="Y265" s="12"/>
      <c r="Z265" s="12"/>
    </row>
    <row r="266" ht="18.75" customHeight="1">
      <c r="A266" s="59" t="s">
        <v>266</v>
      </c>
      <c r="B266" s="89"/>
      <c r="C266" s="89"/>
      <c r="D266" s="89"/>
      <c r="E266" s="89"/>
      <c r="F266" s="89"/>
      <c r="G266" s="89"/>
      <c r="H266" s="89"/>
      <c r="I266" s="60"/>
      <c r="J266" s="12"/>
      <c r="K266" s="12"/>
      <c r="L266" s="12"/>
      <c r="M266" s="12"/>
      <c r="N266" s="12"/>
      <c r="O266" s="12"/>
      <c r="P266" s="12"/>
      <c r="Q266" s="12"/>
      <c r="R266" s="12"/>
      <c r="S266" s="12"/>
      <c r="T266" s="12"/>
      <c r="U266" s="12"/>
      <c r="V266" s="12"/>
      <c r="W266" s="12"/>
      <c r="X266" s="12"/>
      <c r="Y266" s="12"/>
      <c r="Z266" s="12"/>
    </row>
    <row r="267" ht="22.5" customHeight="1">
      <c r="A267" s="89" t="s">
        <v>267</v>
      </c>
      <c r="B267" s="10"/>
      <c r="C267" s="89"/>
      <c r="D267" s="89"/>
      <c r="E267" s="89"/>
      <c r="F267" s="89"/>
      <c r="G267" s="89"/>
      <c r="H267" s="89"/>
      <c r="I267" s="89"/>
      <c r="J267" s="12"/>
      <c r="K267" s="12"/>
      <c r="L267" s="12"/>
      <c r="M267" s="12"/>
      <c r="N267" s="12"/>
      <c r="O267" s="12"/>
      <c r="P267" s="12"/>
      <c r="Q267" s="12"/>
      <c r="R267" s="12"/>
      <c r="S267" s="12"/>
      <c r="T267" s="12"/>
      <c r="U267" s="12"/>
      <c r="V267" s="12"/>
      <c r="W267" s="12"/>
      <c r="X267" s="12"/>
      <c r="Y267" s="12"/>
      <c r="Z267" s="12"/>
    </row>
    <row r="268" ht="22.5" customHeight="1">
      <c r="A268" s="59" t="s">
        <v>268</v>
      </c>
      <c r="B268" s="10"/>
      <c r="C268" s="89"/>
      <c r="D268" s="89"/>
      <c r="E268" s="89"/>
      <c r="F268" s="89"/>
      <c r="G268" s="89"/>
      <c r="H268" s="89"/>
      <c r="I268" s="89"/>
      <c r="J268" s="12"/>
      <c r="K268" s="12"/>
      <c r="L268" s="12"/>
      <c r="M268" s="12"/>
      <c r="N268" s="12"/>
      <c r="O268" s="12"/>
      <c r="P268" s="12"/>
      <c r="Q268" s="12"/>
      <c r="R268" s="12"/>
      <c r="S268" s="12"/>
      <c r="T268" s="12"/>
      <c r="U268" s="12"/>
      <c r="V268" s="12"/>
      <c r="W268" s="12"/>
      <c r="X268" s="12"/>
      <c r="Y268" s="12"/>
      <c r="Z268" s="12"/>
    </row>
    <row r="269" ht="37.5" customHeight="1">
      <c r="A269" s="2"/>
      <c r="B269" s="2"/>
      <c r="C269" s="2"/>
      <c r="D269" s="2"/>
      <c r="E269" s="57" t="s">
        <v>201</v>
      </c>
      <c r="F269" s="57" t="s">
        <v>228</v>
      </c>
      <c r="G269" s="147" t="s">
        <v>209</v>
      </c>
      <c r="H269" s="120" t="s">
        <v>90</v>
      </c>
      <c r="I269" s="119" t="s">
        <v>91</v>
      </c>
      <c r="J269" s="2"/>
      <c r="K269" s="2"/>
      <c r="L269" s="2"/>
      <c r="M269" s="2"/>
      <c r="N269" s="2"/>
      <c r="O269" s="2"/>
      <c r="P269" s="2"/>
      <c r="Q269" s="2"/>
      <c r="R269" s="2"/>
      <c r="S269" s="2"/>
      <c r="T269" s="2"/>
      <c r="U269" s="2"/>
      <c r="V269" s="2"/>
      <c r="W269" s="2"/>
      <c r="X269" s="2"/>
      <c r="Y269" s="2"/>
      <c r="Z269" s="2"/>
    </row>
    <row r="270" ht="18.75" customHeight="1">
      <c r="A270" s="11" t="s">
        <v>269</v>
      </c>
      <c r="B270" s="11"/>
      <c r="C270" s="11"/>
      <c r="D270" s="11"/>
      <c r="E270" s="24">
        <v>600.0</v>
      </c>
      <c r="F270" s="71">
        <v>0.5</v>
      </c>
      <c r="G270" s="26">
        <f t="shared" ref="G270:G272" si="75">E270*(F270)</f>
        <v>300</v>
      </c>
      <c r="H270" s="27">
        <f t="shared" ref="H270:H272" si="76">G270/$H$8</f>
        <v>6.666666667</v>
      </c>
      <c r="I270" s="28">
        <f t="shared" ref="I270:I272" si="77">G270/$I$12</f>
        <v>0.06818181818</v>
      </c>
      <c r="J270" s="11"/>
      <c r="K270" s="11"/>
      <c r="L270" s="11"/>
      <c r="M270" s="11"/>
      <c r="N270" s="11"/>
      <c r="O270" s="11"/>
      <c r="P270" s="11"/>
      <c r="Q270" s="11"/>
      <c r="R270" s="11"/>
      <c r="S270" s="11"/>
      <c r="T270" s="11"/>
      <c r="U270" s="11"/>
      <c r="V270" s="11"/>
      <c r="W270" s="11"/>
      <c r="X270" s="11"/>
      <c r="Y270" s="11"/>
      <c r="Z270" s="11"/>
    </row>
    <row r="271" ht="18.75" customHeight="1">
      <c r="A271" s="11" t="s">
        <v>270</v>
      </c>
      <c r="B271" s="11"/>
      <c r="C271" s="11"/>
      <c r="D271" s="11"/>
      <c r="E271" s="24">
        <v>12000.0</v>
      </c>
      <c r="F271" s="71">
        <v>0.1</v>
      </c>
      <c r="G271" s="26">
        <f t="shared" si="75"/>
        <v>1200</v>
      </c>
      <c r="H271" s="27">
        <f t="shared" si="76"/>
        <v>26.66666667</v>
      </c>
      <c r="I271" s="28">
        <f t="shared" si="77"/>
        <v>0.2727272727</v>
      </c>
      <c r="J271" s="11"/>
      <c r="K271" s="11"/>
      <c r="L271" s="11"/>
      <c r="M271" s="11"/>
      <c r="N271" s="11"/>
      <c r="O271" s="11"/>
      <c r="P271" s="11"/>
      <c r="Q271" s="11"/>
      <c r="R271" s="11"/>
      <c r="S271" s="11"/>
      <c r="T271" s="11"/>
      <c r="U271" s="11"/>
      <c r="V271" s="11"/>
      <c r="W271" s="11"/>
      <c r="X271" s="11"/>
      <c r="Y271" s="11"/>
      <c r="Z271" s="11"/>
    </row>
    <row r="272" ht="18.75" customHeight="1">
      <c r="A272" s="11" t="s">
        <v>271</v>
      </c>
      <c r="B272" s="11"/>
      <c r="C272" s="11"/>
      <c r="D272" s="11"/>
      <c r="E272" s="24">
        <v>2750.0</v>
      </c>
      <c r="F272" s="71">
        <v>0.2</v>
      </c>
      <c r="G272" s="26">
        <f t="shared" si="75"/>
        <v>550</v>
      </c>
      <c r="H272" s="27">
        <f t="shared" si="76"/>
        <v>12.22222222</v>
      </c>
      <c r="I272" s="28">
        <f t="shared" si="77"/>
        <v>0.125</v>
      </c>
      <c r="J272" s="11"/>
      <c r="K272" s="11"/>
      <c r="L272" s="11"/>
      <c r="M272" s="11"/>
      <c r="N272" s="11"/>
      <c r="O272" s="11"/>
      <c r="P272" s="11"/>
      <c r="Q272" s="11"/>
      <c r="R272" s="11"/>
      <c r="S272" s="11"/>
      <c r="T272" s="11"/>
      <c r="U272" s="11"/>
      <c r="V272" s="11"/>
      <c r="W272" s="11"/>
      <c r="X272" s="11"/>
      <c r="Y272" s="11"/>
      <c r="Z272" s="11"/>
    </row>
    <row r="273" ht="18.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8.75" customHeight="1">
      <c r="A274" s="11" t="s">
        <v>272</v>
      </c>
      <c r="B274" s="11"/>
      <c r="C274" s="11"/>
      <c r="D274" s="11"/>
      <c r="E274" s="11"/>
      <c r="F274" s="11"/>
      <c r="G274" s="130">
        <f t="shared" ref="G274:I274" si="78">G217-(G227-G226)-G232-G270-G271-G272</f>
        <v>-517.9</v>
      </c>
      <c r="H274" s="131">
        <f t="shared" si="78"/>
        <v>-11.50888889</v>
      </c>
      <c r="I274" s="132">
        <f t="shared" si="78"/>
        <v>-0.1177045455</v>
      </c>
      <c r="J274" s="11"/>
      <c r="K274" s="11"/>
      <c r="L274" s="11"/>
      <c r="M274" s="11"/>
      <c r="N274" s="11"/>
      <c r="O274" s="11"/>
      <c r="P274" s="11"/>
      <c r="Q274" s="11"/>
      <c r="R274" s="11"/>
      <c r="S274" s="11"/>
      <c r="T274" s="11"/>
      <c r="U274" s="11"/>
      <c r="V274" s="11"/>
      <c r="W274" s="11"/>
      <c r="X274" s="11"/>
      <c r="Y274" s="11"/>
      <c r="Z274" s="11"/>
    </row>
    <row r="275" ht="18.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ht="18.75" customHeight="1">
      <c r="A276" s="11" t="s">
        <v>273</v>
      </c>
      <c r="B276" s="12"/>
      <c r="C276" s="12"/>
      <c r="D276" s="12"/>
      <c r="E276" s="12"/>
      <c r="F276" s="12"/>
      <c r="G276" s="12"/>
      <c r="H276" s="58">
        <f t="shared" ref="H276:I276" si="79">(H227-H226)+H270+H271+H272</f>
        <v>329.9177778</v>
      </c>
      <c r="I276" s="50">
        <f t="shared" si="79"/>
        <v>3.374159091</v>
      </c>
      <c r="J276" s="12"/>
      <c r="K276" s="12"/>
      <c r="L276" s="12"/>
      <c r="M276" s="12"/>
      <c r="N276" s="12"/>
      <c r="O276" s="12"/>
      <c r="P276" s="12"/>
      <c r="Q276" s="12"/>
      <c r="R276" s="12"/>
      <c r="S276" s="12"/>
      <c r="T276" s="12"/>
      <c r="U276" s="12"/>
      <c r="V276" s="12"/>
      <c r="W276" s="12"/>
      <c r="X276" s="12"/>
      <c r="Y276" s="12"/>
      <c r="Z276" s="12"/>
    </row>
    <row r="277" ht="18.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ht="18.75" customHeight="1">
      <c r="A278" s="11" t="s">
        <v>274</v>
      </c>
      <c r="B278" s="12"/>
      <c r="C278" s="12"/>
      <c r="D278" s="12"/>
      <c r="E278" s="12"/>
      <c r="F278" s="12"/>
      <c r="G278" s="12"/>
      <c r="H278" s="12"/>
      <c r="I278" s="50">
        <f>I276-I214-I216</f>
        <v>3.165522727</v>
      </c>
      <c r="J278" s="12"/>
      <c r="K278" s="12"/>
      <c r="L278" s="12"/>
      <c r="M278" s="12"/>
      <c r="N278" s="12"/>
      <c r="O278" s="12"/>
      <c r="P278" s="12"/>
      <c r="Q278" s="12"/>
      <c r="R278" s="12"/>
      <c r="S278" s="12"/>
      <c r="T278" s="12"/>
      <c r="U278" s="12"/>
      <c r="V278" s="12"/>
      <c r="W278" s="12"/>
      <c r="X278" s="12"/>
      <c r="Y278" s="12"/>
      <c r="Z278" s="12"/>
    </row>
    <row r="279" ht="18.75" customHeight="1">
      <c r="A279" s="11"/>
      <c r="B279" s="12"/>
      <c r="C279" s="12"/>
      <c r="D279" s="12"/>
      <c r="E279" s="12"/>
      <c r="F279" s="12"/>
      <c r="G279" s="12"/>
      <c r="H279" s="12"/>
      <c r="I279" s="16"/>
      <c r="J279" s="12"/>
      <c r="K279" s="12"/>
      <c r="L279" s="12"/>
      <c r="M279" s="12"/>
      <c r="N279" s="12"/>
      <c r="O279" s="12"/>
      <c r="P279" s="12"/>
      <c r="Q279" s="12"/>
      <c r="R279" s="12"/>
      <c r="S279" s="12"/>
      <c r="T279" s="12"/>
      <c r="U279" s="12"/>
      <c r="V279" s="12"/>
      <c r="W279" s="12"/>
      <c r="X279" s="12"/>
      <c r="Y279" s="12"/>
      <c r="Z279" s="12"/>
    </row>
    <row r="280" ht="18.75" customHeight="1">
      <c r="A280" s="17" t="s">
        <v>275</v>
      </c>
      <c r="B280" s="83"/>
      <c r="C280" s="83"/>
      <c r="D280" s="83"/>
      <c r="E280" s="83"/>
      <c r="F280" s="148"/>
      <c r="G280" s="83"/>
      <c r="H280" s="83"/>
      <c r="I280" s="83"/>
      <c r="J280" s="12"/>
      <c r="K280" s="12"/>
      <c r="L280" s="12"/>
      <c r="M280" s="12"/>
      <c r="N280" s="12"/>
      <c r="O280" s="12"/>
      <c r="P280" s="12"/>
      <c r="Q280" s="12"/>
      <c r="R280" s="12"/>
      <c r="S280" s="12"/>
      <c r="T280" s="12"/>
      <c r="U280" s="12"/>
      <c r="V280" s="12"/>
      <c r="W280" s="12"/>
      <c r="X280" s="12"/>
      <c r="Y280" s="12"/>
      <c r="Z280" s="12"/>
    </row>
    <row r="281" ht="18.75" customHeight="1">
      <c r="A281" s="11" t="s">
        <v>276</v>
      </c>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8.75" customHeight="1">
      <c r="A282" s="12"/>
      <c r="B282" s="12"/>
      <c r="C282" s="139">
        <v>-0.15</v>
      </c>
      <c r="D282" s="139">
        <v>-0.1</v>
      </c>
      <c r="E282" s="139">
        <v>-0.05</v>
      </c>
      <c r="F282" s="140"/>
      <c r="G282" s="139">
        <v>0.05</v>
      </c>
      <c r="H282" s="139">
        <v>0.1</v>
      </c>
      <c r="I282" s="139">
        <v>0.15</v>
      </c>
      <c r="J282" s="12"/>
      <c r="K282" s="12"/>
      <c r="L282" s="12"/>
      <c r="M282" s="12"/>
      <c r="N282" s="12"/>
      <c r="O282" s="12"/>
      <c r="P282" s="12"/>
      <c r="Q282" s="12"/>
      <c r="R282" s="12"/>
      <c r="S282" s="12"/>
      <c r="T282" s="12"/>
      <c r="U282" s="12"/>
      <c r="V282" s="12"/>
      <c r="W282" s="12"/>
      <c r="X282" s="12"/>
      <c r="Y282" s="12"/>
      <c r="Z282" s="12"/>
    </row>
    <row r="283" ht="18.75" customHeight="1">
      <c r="A283" s="12"/>
      <c r="B283" s="22"/>
      <c r="C283" s="98">
        <f>F283*(1+C282)</f>
        <v>2.690694318</v>
      </c>
      <c r="D283" s="98">
        <f>F283*(1+D282)</f>
        <v>2.848970455</v>
      </c>
      <c r="E283" s="98">
        <f>F283*(1+E282)</f>
        <v>3.007246591</v>
      </c>
      <c r="F283" s="141">
        <f>I278</f>
        <v>3.165522727</v>
      </c>
      <c r="G283" s="98">
        <f>F283*(1+G282)</f>
        <v>3.323798864</v>
      </c>
      <c r="H283" s="98">
        <f>F283*(1+H282)</f>
        <v>3.482075</v>
      </c>
      <c r="I283" s="98">
        <f>F283*(1+I282)</f>
        <v>3.640351136</v>
      </c>
      <c r="J283" s="12"/>
      <c r="K283" s="12"/>
      <c r="L283" s="12"/>
      <c r="M283" s="12"/>
      <c r="N283" s="12"/>
      <c r="O283" s="12"/>
      <c r="P283" s="12"/>
      <c r="Q283" s="12"/>
      <c r="R283" s="12"/>
      <c r="S283" s="12"/>
      <c r="T283" s="12"/>
      <c r="U283" s="12"/>
      <c r="V283" s="12"/>
      <c r="W283" s="12"/>
      <c r="X283" s="12"/>
      <c r="Y283" s="12"/>
      <c r="Z283" s="12"/>
    </row>
    <row r="284" ht="18.75" customHeight="1">
      <c r="A284" s="142">
        <v>-0.15</v>
      </c>
      <c r="B284" s="98">
        <f>B287*(1+A284)</f>
        <v>1.923936364</v>
      </c>
      <c r="C284" s="143">
        <f t="shared" ref="C284:C290" si="80">$C$283-(B284+$I$270+$I$271+$I$272+$I$119+$I$84+$I$65)+($I$19+$I$20+$I$24+$I$209)</f>
        <v>-0.1353102273</v>
      </c>
      <c r="D284" s="143">
        <f t="shared" ref="D284:D290" si="81">$D$283-(B284+$I$270+$I$271+$I$272+$I$119+$I$84+$I$65)+($I$19+$I$20+$I$24+$I$209)</f>
        <v>0.02296590909</v>
      </c>
      <c r="E284" s="143">
        <f t="shared" ref="E284:E290" si="82">$E$283-(B284+$I$270+$I$271+$I$272+$I$119+$I$84+$I$65)+($I$19+$I$20+$I$24+$I$209)</f>
        <v>0.1812420455</v>
      </c>
      <c r="F284" s="143">
        <f t="shared" ref="F284:F290" si="83">$F$283-(B284+$I$270+$I$271+$I$272+$I$119+$I$84+$I$65)+($I$19+$I$20+$I$24+$I$209)</f>
        <v>0.3395181818</v>
      </c>
      <c r="G284" s="143">
        <f t="shared" ref="G284:G290" si="84">$G$283-(B284+$I$270+$I$271+$I$272+$I$119+$I$84+$I$65)+($I$19+$I$20+$I$24+$I$209)</f>
        <v>0.4977943182</v>
      </c>
      <c r="H284" s="143">
        <f t="shared" ref="H284:H290" si="85">$H$283-(B284+$I$270+$I$271+$I$272+$I$119+$I$84+$I$65)+($I$19+$I$20+$I$24+$I$209)</f>
        <v>0.6560704545</v>
      </c>
      <c r="I284" s="143">
        <f t="shared" ref="I284:I290" si="86">$I$283-(B284+$I$270+$I$271+$I$272+$I$119+$I$84+$I$65)+($I$19+$I$20+$I$24+$I$209)</f>
        <v>0.8143465909</v>
      </c>
      <c r="J284" s="12"/>
      <c r="K284" s="12"/>
      <c r="L284" s="12"/>
      <c r="M284" s="12"/>
      <c r="N284" s="12"/>
      <c r="O284" s="12"/>
      <c r="P284" s="12"/>
      <c r="Q284" s="12"/>
      <c r="R284" s="12"/>
      <c r="S284" s="12"/>
      <c r="T284" s="12"/>
      <c r="U284" s="12"/>
      <c r="V284" s="12"/>
      <c r="W284" s="12"/>
      <c r="X284" s="12"/>
      <c r="Y284" s="12"/>
      <c r="Z284" s="12"/>
    </row>
    <row r="285" ht="18.75" customHeight="1">
      <c r="A285" s="142">
        <v>-0.1</v>
      </c>
      <c r="B285" s="98">
        <f>B287*(1+A285)</f>
        <v>2.037109091</v>
      </c>
      <c r="C285" s="143">
        <f t="shared" si="80"/>
        <v>-0.2484829545</v>
      </c>
      <c r="D285" s="143">
        <f t="shared" si="81"/>
        <v>-0.09020681818</v>
      </c>
      <c r="E285" s="143">
        <f t="shared" si="82"/>
        <v>0.06806931818</v>
      </c>
      <c r="F285" s="143">
        <f t="shared" si="83"/>
        <v>0.2263454545</v>
      </c>
      <c r="G285" s="143">
        <f t="shared" si="84"/>
        <v>0.3846215909</v>
      </c>
      <c r="H285" s="143">
        <f t="shared" si="85"/>
        <v>0.5428977273</v>
      </c>
      <c r="I285" s="143">
        <f t="shared" si="86"/>
        <v>0.7011738636</v>
      </c>
      <c r="J285" s="12"/>
      <c r="K285" s="12"/>
      <c r="L285" s="12"/>
      <c r="M285" s="12"/>
      <c r="N285" s="12"/>
      <c r="O285" s="12"/>
      <c r="P285" s="12"/>
      <c r="Q285" s="12"/>
      <c r="R285" s="12"/>
      <c r="S285" s="12"/>
      <c r="T285" s="12"/>
      <c r="U285" s="12"/>
      <c r="V285" s="12"/>
      <c r="W285" s="12"/>
      <c r="X285" s="12"/>
      <c r="Y285" s="12"/>
      <c r="Z285" s="12"/>
    </row>
    <row r="286" ht="18.75" customHeight="1">
      <c r="A286" s="142">
        <v>-0.05</v>
      </c>
      <c r="B286" s="98">
        <f>B287*(1+A286)</f>
        <v>2.150281818</v>
      </c>
      <c r="C286" s="143">
        <f t="shared" si="80"/>
        <v>-0.3616556818</v>
      </c>
      <c r="D286" s="143">
        <f t="shared" si="81"/>
        <v>-0.2033795455</v>
      </c>
      <c r="E286" s="143">
        <f t="shared" si="82"/>
        <v>-0.04510340909</v>
      </c>
      <c r="F286" s="143">
        <f t="shared" si="83"/>
        <v>0.1131727273</v>
      </c>
      <c r="G286" s="143">
        <f t="shared" si="84"/>
        <v>0.2714488636</v>
      </c>
      <c r="H286" s="143">
        <f t="shared" si="85"/>
        <v>0.429725</v>
      </c>
      <c r="I286" s="143">
        <f t="shared" si="86"/>
        <v>0.5880011364</v>
      </c>
      <c r="J286" s="12"/>
      <c r="K286" s="12"/>
      <c r="L286" s="12"/>
      <c r="M286" s="12"/>
      <c r="N286" s="12"/>
      <c r="O286" s="12"/>
      <c r="P286" s="12"/>
      <c r="Q286" s="12"/>
      <c r="R286" s="12"/>
      <c r="S286" s="12"/>
      <c r="T286" s="12"/>
      <c r="U286" s="12"/>
      <c r="V286" s="12"/>
      <c r="W286" s="12"/>
      <c r="X286" s="12"/>
      <c r="Y286" s="12"/>
      <c r="Z286" s="12"/>
    </row>
    <row r="287" ht="18.75" customHeight="1">
      <c r="A287" s="98"/>
      <c r="B287" s="141">
        <f>I241</f>
        <v>2.263454545</v>
      </c>
      <c r="C287" s="143">
        <f t="shared" si="80"/>
        <v>-0.4748284091</v>
      </c>
      <c r="D287" s="143">
        <f t="shared" si="81"/>
        <v>-0.3165522727</v>
      </c>
      <c r="E287" s="143">
        <f t="shared" si="82"/>
        <v>-0.1582761364</v>
      </c>
      <c r="F287" s="141">
        <f t="shared" si="83"/>
        <v>0</v>
      </c>
      <c r="G287" s="143">
        <f t="shared" si="84"/>
        <v>0.1582761364</v>
      </c>
      <c r="H287" s="143">
        <f t="shared" si="85"/>
        <v>0.3165522727</v>
      </c>
      <c r="I287" s="143">
        <f t="shared" si="86"/>
        <v>0.4748284091</v>
      </c>
      <c r="J287" s="12"/>
      <c r="K287" s="12"/>
      <c r="L287" s="12"/>
      <c r="M287" s="12"/>
      <c r="N287" s="12"/>
      <c r="O287" s="12"/>
      <c r="P287" s="12"/>
      <c r="Q287" s="12"/>
      <c r="R287" s="12"/>
      <c r="S287" s="12"/>
      <c r="T287" s="12"/>
      <c r="U287" s="12"/>
      <c r="V287" s="12"/>
      <c r="W287" s="12"/>
      <c r="X287" s="12"/>
      <c r="Y287" s="12"/>
      <c r="Z287" s="12"/>
    </row>
    <row r="288" ht="18.75" customHeight="1">
      <c r="A288" s="142">
        <v>0.05</v>
      </c>
      <c r="B288" s="98">
        <f>B287*(1+A288)</f>
        <v>2.376627273</v>
      </c>
      <c r="C288" s="143">
        <f t="shared" si="80"/>
        <v>-0.5880011364</v>
      </c>
      <c r="D288" s="143">
        <f t="shared" si="81"/>
        <v>-0.429725</v>
      </c>
      <c r="E288" s="143">
        <f t="shared" si="82"/>
        <v>-0.2714488636</v>
      </c>
      <c r="F288" s="143">
        <f t="shared" si="83"/>
        <v>-0.1131727273</v>
      </c>
      <c r="G288" s="143">
        <f t="shared" si="84"/>
        <v>0.04510340909</v>
      </c>
      <c r="H288" s="143">
        <f t="shared" si="85"/>
        <v>0.2033795455</v>
      </c>
      <c r="I288" s="143">
        <f t="shared" si="86"/>
        <v>0.3616556818</v>
      </c>
      <c r="J288" s="12"/>
      <c r="K288" s="12"/>
      <c r="L288" s="12"/>
      <c r="M288" s="12"/>
      <c r="N288" s="12"/>
      <c r="O288" s="12"/>
      <c r="P288" s="12"/>
      <c r="Q288" s="12"/>
      <c r="R288" s="12"/>
      <c r="S288" s="12"/>
      <c r="T288" s="12"/>
      <c r="U288" s="12"/>
      <c r="V288" s="12"/>
      <c r="W288" s="12"/>
      <c r="X288" s="12"/>
      <c r="Y288" s="12"/>
      <c r="Z288" s="12"/>
    </row>
    <row r="289" ht="18.75" customHeight="1">
      <c r="A289" s="142">
        <v>0.1</v>
      </c>
      <c r="B289" s="98">
        <f>B287*(1+A289)</f>
        <v>2.4898</v>
      </c>
      <c r="C289" s="143">
        <f t="shared" si="80"/>
        <v>-0.7011738636</v>
      </c>
      <c r="D289" s="143">
        <f t="shared" si="81"/>
        <v>-0.5428977273</v>
      </c>
      <c r="E289" s="143">
        <f t="shared" si="82"/>
        <v>-0.3846215909</v>
      </c>
      <c r="F289" s="143">
        <f t="shared" si="83"/>
        <v>-0.2263454545</v>
      </c>
      <c r="G289" s="143">
        <f t="shared" si="84"/>
        <v>-0.06806931818</v>
      </c>
      <c r="H289" s="143">
        <f t="shared" si="85"/>
        <v>0.09020681818</v>
      </c>
      <c r="I289" s="143">
        <f t="shared" si="86"/>
        <v>0.2484829545</v>
      </c>
      <c r="J289" s="12"/>
      <c r="K289" s="12"/>
      <c r="L289" s="12"/>
      <c r="M289" s="12"/>
      <c r="N289" s="12"/>
      <c r="O289" s="12"/>
      <c r="P289" s="12"/>
      <c r="Q289" s="12"/>
      <c r="R289" s="12"/>
      <c r="S289" s="12"/>
      <c r="T289" s="12"/>
      <c r="U289" s="12"/>
      <c r="V289" s="12"/>
      <c r="W289" s="12"/>
      <c r="X289" s="12"/>
      <c r="Y289" s="12"/>
      <c r="Z289" s="12"/>
    </row>
    <row r="290" ht="18.75" customHeight="1">
      <c r="A290" s="142">
        <v>0.15</v>
      </c>
      <c r="B290" s="98">
        <f>B287*(1+A290)</f>
        <v>2.602972727</v>
      </c>
      <c r="C290" s="143">
        <f t="shared" si="80"/>
        <v>-0.8143465909</v>
      </c>
      <c r="D290" s="143">
        <f t="shared" si="81"/>
        <v>-0.6560704545</v>
      </c>
      <c r="E290" s="143">
        <f t="shared" si="82"/>
        <v>-0.4977943182</v>
      </c>
      <c r="F290" s="143">
        <f t="shared" si="83"/>
        <v>-0.3395181818</v>
      </c>
      <c r="G290" s="143">
        <f t="shared" si="84"/>
        <v>-0.1812420455</v>
      </c>
      <c r="H290" s="143">
        <f t="shared" si="85"/>
        <v>-0.02296590909</v>
      </c>
      <c r="I290" s="143">
        <f t="shared" si="86"/>
        <v>0.1353102273</v>
      </c>
      <c r="J290" s="12"/>
      <c r="K290" s="12"/>
      <c r="L290" s="12"/>
      <c r="M290" s="12"/>
      <c r="N290" s="12"/>
      <c r="O290" s="12"/>
      <c r="P290" s="12"/>
      <c r="Q290" s="12"/>
      <c r="R290" s="12"/>
      <c r="S290" s="12"/>
      <c r="T290" s="12"/>
      <c r="U290" s="12"/>
      <c r="V290" s="12"/>
      <c r="W290" s="12"/>
      <c r="X290" s="12"/>
      <c r="Y290" s="12"/>
      <c r="Z290" s="12"/>
    </row>
    <row r="291" ht="18.75" customHeight="1">
      <c r="A291" s="145"/>
      <c r="B291" s="16"/>
      <c r="C291" s="146"/>
      <c r="D291" s="146"/>
      <c r="E291" s="146"/>
      <c r="F291" s="146"/>
      <c r="G291" s="146"/>
      <c r="H291" s="146"/>
      <c r="I291" s="146"/>
      <c r="J291" s="12"/>
      <c r="K291" s="12"/>
      <c r="L291" s="12"/>
      <c r="M291" s="12"/>
      <c r="N291" s="12"/>
      <c r="O291" s="12"/>
      <c r="P291" s="12"/>
      <c r="Q291" s="12"/>
      <c r="R291" s="12"/>
      <c r="S291" s="12"/>
      <c r="T291" s="12"/>
      <c r="U291" s="12"/>
      <c r="V291" s="12"/>
      <c r="W291" s="12"/>
      <c r="X291" s="12"/>
      <c r="Y291" s="12"/>
      <c r="Z291" s="12"/>
    </row>
    <row r="292" ht="18.75" customHeight="1">
      <c r="A292" s="149" t="s">
        <v>277</v>
      </c>
      <c r="B292" s="16" t="s">
        <v>278</v>
      </c>
      <c r="C292" s="146"/>
      <c r="D292" s="146"/>
      <c r="E292" s="146"/>
      <c r="F292" s="146"/>
      <c r="G292" s="146"/>
      <c r="H292" s="146"/>
      <c r="I292" s="146"/>
      <c r="J292" s="12"/>
      <c r="K292" s="12"/>
      <c r="L292" s="12"/>
      <c r="M292" s="12"/>
      <c r="N292" s="12"/>
      <c r="O292" s="12"/>
      <c r="P292" s="12"/>
      <c r="Q292" s="12"/>
      <c r="R292" s="12"/>
      <c r="S292" s="12"/>
      <c r="T292" s="12"/>
      <c r="U292" s="12"/>
      <c r="V292" s="12"/>
      <c r="W292" s="12"/>
      <c r="X292" s="12"/>
      <c r="Y292" s="12"/>
      <c r="Z292" s="12"/>
    </row>
    <row r="293" ht="18.75" customHeight="1">
      <c r="A293" s="149"/>
      <c r="B293" s="150" t="s">
        <v>279</v>
      </c>
      <c r="C293" s="146"/>
      <c r="D293" s="146"/>
      <c r="E293" s="146"/>
      <c r="F293" s="146"/>
      <c r="G293" s="146"/>
      <c r="H293" s="146"/>
      <c r="I293" s="146"/>
      <c r="J293" s="12"/>
      <c r="K293" s="12"/>
      <c r="L293" s="12"/>
      <c r="M293" s="12"/>
      <c r="N293" s="12"/>
      <c r="O293" s="12"/>
      <c r="P293" s="12"/>
      <c r="Q293" s="12"/>
      <c r="R293" s="12"/>
      <c r="S293" s="12"/>
      <c r="T293" s="12"/>
      <c r="U293" s="12"/>
      <c r="V293" s="12"/>
      <c r="W293" s="12"/>
      <c r="X293" s="12"/>
      <c r="Y293" s="12"/>
      <c r="Z293" s="12"/>
    </row>
    <row r="294" ht="18.75" customHeight="1">
      <c r="A294" s="149" t="s">
        <v>280</v>
      </c>
      <c r="B294" s="16"/>
      <c r="C294" s="146"/>
      <c r="D294" s="146"/>
      <c r="E294" s="146"/>
      <c r="F294" s="146"/>
      <c r="G294" s="146"/>
      <c r="H294" s="146"/>
      <c r="I294" s="146"/>
      <c r="J294" s="12"/>
      <c r="K294" s="12"/>
      <c r="L294" s="12"/>
      <c r="M294" s="12"/>
      <c r="N294" s="12"/>
      <c r="O294" s="12"/>
      <c r="P294" s="12"/>
      <c r="Q294" s="12"/>
      <c r="R294" s="12"/>
      <c r="S294" s="12"/>
      <c r="T294" s="12"/>
      <c r="U294" s="12"/>
      <c r="V294" s="12"/>
      <c r="W294" s="12"/>
      <c r="X294" s="12"/>
      <c r="Y294" s="12"/>
      <c r="Z294" s="12"/>
    </row>
    <row r="295" ht="18.75" customHeight="1">
      <c r="A295" s="145"/>
      <c r="B295" s="150" t="s">
        <v>281</v>
      </c>
      <c r="C295" s="146"/>
      <c r="D295" s="146"/>
      <c r="E295" s="146"/>
      <c r="F295" s="146"/>
      <c r="G295" s="146"/>
      <c r="H295" s="146"/>
      <c r="I295" s="146"/>
      <c r="J295" s="12"/>
      <c r="K295" s="12"/>
      <c r="L295" s="12"/>
      <c r="M295" s="12"/>
      <c r="N295" s="12"/>
      <c r="O295" s="12"/>
      <c r="P295" s="12"/>
      <c r="Q295" s="12"/>
      <c r="R295" s="12"/>
      <c r="S295" s="12"/>
      <c r="T295" s="12"/>
      <c r="U295" s="12"/>
      <c r="V295" s="12"/>
      <c r="W295" s="12"/>
      <c r="X295" s="12"/>
      <c r="Y295" s="12"/>
      <c r="Z295" s="12"/>
    </row>
    <row r="296" ht="18.75" customHeight="1">
      <c r="B296" s="151"/>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ht="18.75" customHeight="1">
      <c r="A297" s="12" t="s">
        <v>282</v>
      </c>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ht="18.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ht="18.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ht="18.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ht="18.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8.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ht="18.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ht="18.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ht="18.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ht="18.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ht="18.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8.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ht="18.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ht="18.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ht="18.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ht="18.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ht="18.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ht="18.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8.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ht="18.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ht="18.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ht="18.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ht="18.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8.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8.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ht="18.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ht="18.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ht="18.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ht="18.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ht="18.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ht="18.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ht="18.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8.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ht="18.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ht="18.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ht="18.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ht="18.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ht="18.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ht="18.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ht="18.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ht="18.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18.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8.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ht="18.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ht="18.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ht="18.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8.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ht="18.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ht="18.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ht="18.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8.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ht="18.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ht="18.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ht="18.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ht="18.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8.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8.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ht="18.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ht="18.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ht="18.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ht="18.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ht="18.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ht="18.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ht="18.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8.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ht="18.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ht="18.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ht="18.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ht="18.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ht="18.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ht="18.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ht="18.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8.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ht="18.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ht="18.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ht="18.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ht="18.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ht="18.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ht="18.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ht="18.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ht="18.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8.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ht="18.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ht="18.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ht="18.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ht="18.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8.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ht="18.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ht="18.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ht="18.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ht="18.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ht="18.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8.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ht="18.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ht="18.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ht="18.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ht="18.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8.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ht="18.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ht="18.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ht="18.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ht="18.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ht="18.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ht="18.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ht="18.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ht="18.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ht="18.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ht="18.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ht="18.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ht="18.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8.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ht="18.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ht="18.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ht="18.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ht="18.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ht="18.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ht="18.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ht="18.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ht="18.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ht="18.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ht="18.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ht="18.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ht="18.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ht="18.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ht="18.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ht="18.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ht="18.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ht="18.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ht="18.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ht="18.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8.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8.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ht="18.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ht="18.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ht="18.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ht="18.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ht="18.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ht="18.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ht="18.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8.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ht="18.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ht="18.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ht="18.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ht="18.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ht="18.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ht="18.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ht="18.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8.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ht="18.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ht="18.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ht="18.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ht="18.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ht="18.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ht="18.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ht="18.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8.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ht="18.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ht="18.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ht="18.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ht="18.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ht="18.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ht="18.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ht="18.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8.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ht="18.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ht="18.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ht="18.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ht="18.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ht="18.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ht="18.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ht="18.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8.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ht="18.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ht="18.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ht="18.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ht="18.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ht="18.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ht="18.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ht="18.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8.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ht="18.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ht="18.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ht="18.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ht="18.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ht="18.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ht="18.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ht="18.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8.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ht="18.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ht="18.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ht="18.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ht="18.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ht="18.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ht="18.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ht="18.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8.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ht="18.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ht="18.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ht="18.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ht="18.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ht="18.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FFFF"/>
    <pageSetUpPr/>
  </sheetPr>
  <sheetViews>
    <sheetView workbookViewId="0"/>
  </sheetViews>
  <sheetFormatPr customHeight="1" defaultColWidth="14.43" defaultRowHeight="15.0"/>
  <cols>
    <col customWidth="1" min="1" max="26" width="8.71"/>
  </cols>
  <sheetData>
    <row r="5">
      <c r="A5" s="152" t="s">
        <v>283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CC"/>
    <pageSetUpPr fitToPage="1"/>
  </sheetPr>
  <sheetViews>
    <sheetView workbookViewId="0"/>
  </sheetViews>
  <sheetFormatPr customHeight="1" defaultColWidth="14.43" defaultRowHeight="15.0"/>
  <cols>
    <col customWidth="1" min="1" max="1" width="3.57"/>
    <col customWidth="1" min="2" max="2" width="30.57"/>
    <col customWidth="1" min="3" max="3" width="14.86"/>
    <col customWidth="1" min="4" max="4" width="6.86"/>
    <col customWidth="1" min="5" max="5" width="14.0"/>
    <col customWidth="1" min="6" max="6" width="6.71"/>
    <col customWidth="1" min="7" max="7" width="12.86"/>
    <col customWidth="1" min="8" max="8" width="6.57"/>
    <col customWidth="1" min="9" max="9" width="12.43"/>
    <col customWidth="1" min="10" max="10" width="14.57"/>
    <col customWidth="1" min="11" max="12" width="11.57"/>
    <col customWidth="1" min="13" max="13" width="11.43"/>
    <col customWidth="1" min="14" max="14" width="10.0"/>
    <col customWidth="1" min="15" max="19" width="10.71"/>
    <col customWidth="1" min="20" max="26" width="8.71"/>
  </cols>
  <sheetData>
    <row r="1" ht="15.75" customHeight="1">
      <c r="A1" s="153"/>
      <c r="B1" s="153"/>
      <c r="C1" s="153"/>
      <c r="D1" s="153"/>
      <c r="E1" s="153"/>
      <c r="F1" s="153"/>
      <c r="G1" s="153"/>
      <c r="H1" s="153"/>
      <c r="I1" s="153"/>
      <c r="J1" s="153"/>
      <c r="K1" s="153"/>
      <c r="L1" s="153"/>
      <c r="M1" s="153"/>
      <c r="N1" s="153"/>
      <c r="O1" s="153"/>
      <c r="P1" s="153"/>
      <c r="Q1" s="153"/>
      <c r="R1" s="153"/>
      <c r="S1" s="153"/>
      <c r="T1" s="153"/>
      <c r="U1" s="153"/>
      <c r="V1" s="153"/>
      <c r="W1" s="153"/>
      <c r="X1" s="153"/>
      <c r="Y1" s="153"/>
      <c r="Z1" s="153"/>
    </row>
    <row r="2" ht="15.75" customHeight="1">
      <c r="A2" s="153"/>
      <c r="B2" s="153"/>
      <c r="C2" s="153"/>
      <c r="D2" s="153"/>
      <c r="E2" s="153"/>
      <c r="F2" s="153"/>
      <c r="G2" s="153"/>
      <c r="H2" s="153"/>
      <c r="I2" s="153"/>
      <c r="J2" s="153"/>
      <c r="K2" s="153"/>
      <c r="L2" s="153"/>
      <c r="M2" s="153"/>
      <c r="N2" s="153"/>
      <c r="O2" s="153"/>
      <c r="P2" s="153"/>
      <c r="Q2" s="153"/>
      <c r="R2" s="153"/>
      <c r="S2" s="153"/>
      <c r="T2" s="153"/>
      <c r="U2" s="153"/>
      <c r="V2" s="153"/>
      <c r="W2" s="153"/>
      <c r="X2" s="153"/>
      <c r="Y2" s="153"/>
      <c r="Z2" s="153"/>
    </row>
    <row r="3" ht="15.75" customHeight="1">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row>
    <row r="4" ht="15.75"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row>
    <row r="5" ht="18.75" customHeight="1">
      <c r="A5" s="152" t="s">
        <v>284</v>
      </c>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ht="14.25" customHeight="1">
      <c r="A6" s="154"/>
      <c r="B6" s="154"/>
      <c r="C6" s="154" t="s">
        <v>285</v>
      </c>
      <c r="D6" s="154"/>
      <c r="E6" s="154"/>
      <c r="F6" s="154"/>
      <c r="G6" s="154"/>
      <c r="H6" s="154"/>
      <c r="I6" s="154"/>
      <c r="J6" s="154"/>
      <c r="K6" s="154"/>
      <c r="L6" s="154"/>
      <c r="M6" s="154"/>
      <c r="N6" s="154"/>
      <c r="O6" s="154"/>
      <c r="P6" s="154"/>
      <c r="Q6" s="154"/>
      <c r="R6" s="154"/>
      <c r="S6" s="154"/>
      <c r="T6" s="154"/>
      <c r="U6" s="154"/>
      <c r="V6" s="154"/>
      <c r="W6" s="154"/>
      <c r="X6" s="154"/>
      <c r="Y6" s="154"/>
      <c r="Z6" s="154"/>
    </row>
    <row r="7" ht="15.75" customHeight="1">
      <c r="A7" s="152" t="s">
        <v>286</v>
      </c>
      <c r="B7" s="154"/>
      <c r="C7" s="155"/>
      <c r="D7" s="156"/>
      <c r="E7" s="157"/>
      <c r="F7" s="154"/>
      <c r="G7" s="154"/>
      <c r="H7" s="154"/>
      <c r="I7" s="154"/>
      <c r="J7" s="154"/>
      <c r="K7" s="154"/>
      <c r="L7" s="154"/>
      <c r="M7" s="154"/>
      <c r="N7" s="154"/>
      <c r="O7" s="154"/>
      <c r="P7" s="154"/>
      <c r="Q7" s="154"/>
      <c r="R7" s="154"/>
      <c r="S7" s="154"/>
      <c r="T7" s="154"/>
      <c r="U7" s="154"/>
      <c r="V7" s="154"/>
      <c r="W7" s="154"/>
      <c r="X7" s="154"/>
      <c r="Y7" s="154"/>
      <c r="Z7" s="154"/>
    </row>
    <row r="8" ht="15.75" customHeight="1">
      <c r="A8" s="158" t="s">
        <v>287</v>
      </c>
      <c r="B8" s="159"/>
      <c r="C8" s="159"/>
      <c r="D8" s="159"/>
      <c r="E8" s="159"/>
      <c r="F8" s="159"/>
      <c r="G8" s="159"/>
      <c r="H8" s="159"/>
      <c r="I8" s="159"/>
      <c r="J8" s="159"/>
      <c r="K8" s="154"/>
      <c r="L8" s="154"/>
      <c r="M8" s="154"/>
      <c r="N8" s="154"/>
      <c r="O8" s="154"/>
      <c r="P8" s="154"/>
      <c r="Q8" s="154"/>
      <c r="R8" s="154"/>
      <c r="S8" s="154"/>
      <c r="T8" s="154"/>
      <c r="U8" s="154"/>
      <c r="V8" s="154"/>
      <c r="W8" s="154"/>
      <c r="X8" s="154"/>
      <c r="Y8" s="154"/>
      <c r="Z8" s="154"/>
    </row>
    <row r="9" ht="15.75" customHeight="1">
      <c r="A9" s="154"/>
      <c r="B9" s="154"/>
      <c r="C9" s="154"/>
      <c r="D9" s="154"/>
      <c r="E9" s="152" t="s">
        <v>288</v>
      </c>
      <c r="F9" s="154"/>
      <c r="G9" s="160">
        <v>44805.0</v>
      </c>
      <c r="H9" s="154"/>
      <c r="I9" s="154"/>
      <c r="J9" s="154"/>
      <c r="K9" s="154"/>
      <c r="L9" s="154"/>
      <c r="M9" s="154"/>
      <c r="N9" s="154"/>
      <c r="O9" s="154"/>
      <c r="P9" s="154"/>
      <c r="Q9" s="154"/>
      <c r="R9" s="154"/>
      <c r="S9" s="154"/>
      <c r="T9" s="154"/>
      <c r="U9" s="154"/>
      <c r="V9" s="154"/>
      <c r="W9" s="154"/>
      <c r="X9" s="154"/>
      <c r="Y9" s="154"/>
      <c r="Z9" s="154"/>
    </row>
    <row r="10" ht="15.75" customHeight="1">
      <c r="A10" s="161"/>
      <c r="B10" s="162" t="s">
        <v>289</v>
      </c>
      <c r="C10" s="162"/>
      <c r="D10" s="162"/>
      <c r="E10" s="163" t="s">
        <v>290</v>
      </c>
      <c r="F10" s="162"/>
      <c r="G10" s="163" t="s">
        <v>291</v>
      </c>
      <c r="H10" s="162"/>
      <c r="I10" s="163" t="s">
        <v>292</v>
      </c>
      <c r="J10" s="162" t="s">
        <v>293</v>
      </c>
      <c r="K10" s="161"/>
      <c r="L10" s="161"/>
      <c r="M10" s="161"/>
      <c r="N10" s="161"/>
      <c r="O10" s="161"/>
      <c r="P10" s="161"/>
      <c r="Q10" s="161"/>
      <c r="R10" s="161"/>
      <c r="S10" s="161"/>
      <c r="T10" s="161"/>
      <c r="U10" s="161"/>
      <c r="V10" s="161"/>
      <c r="W10" s="161"/>
      <c r="X10" s="161"/>
      <c r="Y10" s="161"/>
      <c r="Z10" s="161"/>
    </row>
    <row r="11" ht="15.75" customHeight="1">
      <c r="A11" s="152"/>
      <c r="B11" s="152" t="s">
        <v>294</v>
      </c>
      <c r="C11" s="164">
        <v>150.0</v>
      </c>
      <c r="D11" s="152" t="s">
        <v>295</v>
      </c>
      <c r="E11" s="165">
        <v>2.22</v>
      </c>
      <c r="F11" s="152" t="s">
        <v>296</v>
      </c>
      <c r="G11" s="166">
        <f t="shared" ref="G11:G12" si="1">C11*E11</f>
        <v>333</v>
      </c>
      <c r="H11" s="152"/>
      <c r="I11" s="167">
        <f>I19</f>
        <v>75</v>
      </c>
      <c r="J11" s="166">
        <f>I11*G11</f>
        <v>24975</v>
      </c>
      <c r="K11" s="152"/>
      <c r="L11" s="152"/>
      <c r="M11" s="152"/>
      <c r="N11" s="152"/>
      <c r="O11" s="152"/>
      <c r="P11" s="152"/>
      <c r="Q11" s="152"/>
      <c r="R11" s="152"/>
      <c r="S11" s="152"/>
      <c r="T11" s="152"/>
      <c r="U11" s="152"/>
      <c r="V11" s="152"/>
      <c r="W11" s="152"/>
      <c r="X11" s="152"/>
      <c r="Y11" s="152"/>
      <c r="Z11" s="152"/>
    </row>
    <row r="12" ht="15.75" customHeight="1">
      <c r="A12" s="154"/>
      <c r="B12" s="152" t="s">
        <v>297</v>
      </c>
      <c r="C12" s="164">
        <v>3.0</v>
      </c>
      <c r="D12" s="152" t="s">
        <v>295</v>
      </c>
      <c r="E12" s="165">
        <v>0.03</v>
      </c>
      <c r="F12" s="152" t="s">
        <v>296</v>
      </c>
      <c r="G12" s="166">
        <f t="shared" si="1"/>
        <v>0.09</v>
      </c>
      <c r="H12" s="154"/>
      <c r="I12" s="154"/>
      <c r="J12" s="166">
        <f>G12*I11</f>
        <v>6.75</v>
      </c>
      <c r="K12" s="154"/>
      <c r="L12" s="154"/>
      <c r="M12" s="154"/>
      <c r="N12" s="154"/>
      <c r="O12" s="154"/>
      <c r="P12" s="154"/>
      <c r="Q12" s="154"/>
      <c r="R12" s="154"/>
      <c r="S12" s="154"/>
      <c r="T12" s="154"/>
      <c r="U12" s="154"/>
      <c r="V12" s="154"/>
      <c r="W12" s="154"/>
      <c r="X12" s="154"/>
      <c r="Y12" s="154"/>
      <c r="Z12" s="154"/>
    </row>
    <row r="13" ht="15.75" customHeight="1">
      <c r="A13" s="154"/>
      <c r="B13" s="152" t="s">
        <v>298</v>
      </c>
      <c r="C13" s="152"/>
      <c r="D13" s="152"/>
      <c r="E13" s="168"/>
      <c r="F13" s="152"/>
      <c r="G13" s="165"/>
      <c r="H13" s="154"/>
      <c r="I13" s="154"/>
      <c r="J13" s="166">
        <f>G13*I11</f>
        <v>0</v>
      </c>
      <c r="K13" s="154"/>
      <c r="L13" s="154"/>
      <c r="M13" s="154"/>
      <c r="N13" s="154"/>
      <c r="O13" s="154"/>
      <c r="P13" s="154"/>
      <c r="Q13" s="154"/>
      <c r="R13" s="154"/>
      <c r="S13" s="154"/>
      <c r="T13" s="154"/>
      <c r="U13" s="154"/>
      <c r="V13" s="154"/>
      <c r="W13" s="154"/>
      <c r="X13" s="154"/>
      <c r="Y13" s="154"/>
      <c r="Z13" s="154"/>
    </row>
    <row r="14" ht="15.75" customHeight="1">
      <c r="A14" s="154"/>
      <c r="B14" s="152" t="s">
        <v>299</v>
      </c>
      <c r="C14" s="152"/>
      <c r="D14" s="152"/>
      <c r="E14" s="168"/>
      <c r="F14" s="152"/>
      <c r="G14" s="166">
        <f>SUM(G11:G13)</f>
        <v>333.09</v>
      </c>
      <c r="H14" s="154"/>
      <c r="I14" s="154"/>
      <c r="J14" s="166">
        <f>SUM(J11:J13)</f>
        <v>24981.75</v>
      </c>
      <c r="K14" s="154"/>
      <c r="L14" s="154"/>
      <c r="M14" s="154"/>
      <c r="N14" s="154"/>
      <c r="O14" s="154"/>
      <c r="P14" s="154"/>
      <c r="Q14" s="154"/>
      <c r="R14" s="154"/>
      <c r="S14" s="154"/>
      <c r="T14" s="154"/>
      <c r="U14" s="154"/>
      <c r="V14" s="154"/>
      <c r="W14" s="154"/>
      <c r="X14" s="154"/>
      <c r="Y14" s="154"/>
      <c r="Z14" s="154"/>
    </row>
    <row r="15" ht="15.75" customHeight="1">
      <c r="A15" s="158" t="s">
        <v>300</v>
      </c>
      <c r="B15" s="159"/>
      <c r="C15" s="159"/>
      <c r="D15" s="159"/>
      <c r="E15" s="159"/>
      <c r="F15" s="159"/>
      <c r="G15" s="159"/>
      <c r="H15" s="159"/>
      <c r="I15" s="159"/>
      <c r="J15" s="159"/>
      <c r="K15" s="154"/>
      <c r="L15" s="154"/>
      <c r="M15" s="154"/>
      <c r="N15" s="154"/>
      <c r="O15" s="154"/>
      <c r="P15" s="154"/>
      <c r="Q15" s="154"/>
      <c r="R15" s="154"/>
      <c r="S15" s="154"/>
      <c r="T15" s="154"/>
      <c r="U15" s="154"/>
      <c r="V15" s="154"/>
      <c r="W15" s="154"/>
      <c r="X15" s="154"/>
      <c r="Y15" s="154"/>
      <c r="Z15" s="154"/>
    </row>
    <row r="16" ht="15.75" customHeight="1">
      <c r="A16" s="169"/>
      <c r="B16" s="170" t="s">
        <v>301</v>
      </c>
      <c r="C16" s="170"/>
      <c r="D16" s="170"/>
      <c r="E16" s="170"/>
      <c r="F16" s="170"/>
      <c r="G16" s="170"/>
      <c r="H16" s="154"/>
      <c r="I16" s="154"/>
      <c r="J16" s="154"/>
      <c r="K16" s="154"/>
      <c r="L16" s="154"/>
      <c r="M16" s="154"/>
      <c r="N16" s="154"/>
      <c r="O16" s="154"/>
      <c r="P16" s="154"/>
      <c r="Q16" s="154"/>
      <c r="R16" s="154"/>
      <c r="S16" s="154"/>
      <c r="T16" s="154"/>
      <c r="U16" s="154"/>
      <c r="V16" s="154"/>
      <c r="W16" s="154"/>
      <c r="X16" s="154"/>
      <c r="Y16" s="154"/>
      <c r="Z16" s="154"/>
    </row>
    <row r="17" ht="15.75" customHeight="1">
      <c r="A17" s="169"/>
      <c r="B17" s="154"/>
      <c r="C17" s="152" t="s">
        <v>302</v>
      </c>
      <c r="D17" s="154"/>
      <c r="E17" s="154"/>
      <c r="F17" s="154"/>
      <c r="G17" s="160">
        <v>44682.0</v>
      </c>
      <c r="H17" s="154"/>
      <c r="I17" s="154"/>
      <c r="J17" s="154"/>
      <c r="K17" s="154"/>
      <c r="L17" s="154"/>
      <c r="M17" s="154"/>
      <c r="N17" s="154"/>
      <c r="O17" s="154"/>
      <c r="P17" s="154"/>
      <c r="Q17" s="154"/>
      <c r="R17" s="154"/>
      <c r="S17" s="154"/>
      <c r="T17" s="154"/>
      <c r="U17" s="154"/>
      <c r="V17" s="154"/>
      <c r="W17" s="154"/>
      <c r="X17" s="154"/>
      <c r="Y17" s="154"/>
      <c r="Z17" s="154"/>
    </row>
    <row r="18" ht="15.75" customHeight="1">
      <c r="A18" s="161"/>
      <c r="B18" s="152" t="s">
        <v>303</v>
      </c>
      <c r="C18" s="162"/>
      <c r="D18" s="161"/>
      <c r="E18" s="162" t="s">
        <v>304</v>
      </c>
      <c r="F18" s="161"/>
      <c r="G18" s="162" t="s">
        <v>305</v>
      </c>
      <c r="H18" s="161"/>
      <c r="I18" s="162" t="s">
        <v>306</v>
      </c>
      <c r="J18" s="162" t="s">
        <v>307</v>
      </c>
      <c r="K18" s="161"/>
      <c r="L18" s="161"/>
      <c r="M18" s="161"/>
      <c r="N18" s="161"/>
      <c r="O18" s="161"/>
      <c r="P18" s="161"/>
      <c r="Q18" s="161"/>
      <c r="R18" s="161"/>
      <c r="S18" s="161"/>
      <c r="T18" s="161"/>
      <c r="U18" s="161"/>
      <c r="V18" s="161"/>
      <c r="W18" s="161"/>
      <c r="X18" s="161"/>
      <c r="Y18" s="161"/>
      <c r="Z18" s="161"/>
    </row>
    <row r="19" ht="15.75" customHeight="1">
      <c r="A19" s="152"/>
      <c r="B19" s="152" t="s">
        <v>308</v>
      </c>
      <c r="C19" s="164">
        <v>50.0</v>
      </c>
      <c r="D19" s="152" t="s">
        <v>295</v>
      </c>
      <c r="E19" s="165">
        <v>3.0</v>
      </c>
      <c r="F19" s="152" t="s">
        <v>296</v>
      </c>
      <c r="G19" s="166">
        <f>C19*E19</f>
        <v>150</v>
      </c>
      <c r="H19" s="154"/>
      <c r="I19" s="164">
        <v>75.0</v>
      </c>
      <c r="J19" s="166">
        <f>I19*G19</f>
        <v>11250</v>
      </c>
      <c r="K19" s="154"/>
      <c r="L19" s="154"/>
      <c r="M19" s="154"/>
      <c r="N19" s="154"/>
      <c r="O19" s="154"/>
      <c r="P19" s="154"/>
      <c r="Q19" s="154"/>
      <c r="R19" s="154"/>
      <c r="S19" s="154"/>
      <c r="T19" s="154"/>
      <c r="U19" s="154"/>
      <c r="V19" s="154"/>
      <c r="W19" s="154"/>
      <c r="X19" s="154"/>
      <c r="Y19" s="154"/>
      <c r="Z19" s="154"/>
    </row>
    <row r="20" ht="15.75" customHeight="1">
      <c r="A20" s="152"/>
      <c r="B20" s="152"/>
      <c r="C20" s="152"/>
      <c r="D20" s="152"/>
      <c r="E20" s="168"/>
      <c r="F20" s="152"/>
      <c r="G20" s="168"/>
      <c r="H20" s="154"/>
      <c r="I20" s="152"/>
      <c r="J20" s="168"/>
      <c r="K20" s="154"/>
      <c r="L20" s="154"/>
      <c r="M20" s="154"/>
      <c r="N20" s="154"/>
      <c r="O20" s="154"/>
      <c r="P20" s="154"/>
      <c r="Q20" s="154"/>
      <c r="R20" s="154"/>
      <c r="S20" s="154"/>
      <c r="T20" s="154"/>
      <c r="U20" s="154"/>
      <c r="V20" s="154"/>
      <c r="W20" s="154"/>
      <c r="X20" s="154"/>
      <c r="Y20" s="154"/>
      <c r="Z20" s="154"/>
    </row>
    <row r="21" ht="15.75" customHeight="1">
      <c r="A21" s="171"/>
      <c r="B21" s="172" t="s">
        <v>309</v>
      </c>
      <c r="C21" s="173"/>
      <c r="D21" s="173"/>
      <c r="E21" s="173"/>
      <c r="F21" s="173"/>
      <c r="G21" s="173"/>
      <c r="H21" s="173"/>
      <c r="I21" s="173"/>
      <c r="J21" s="173"/>
      <c r="K21" s="174"/>
      <c r="L21" s="174"/>
      <c r="M21" s="174"/>
      <c r="N21" s="154"/>
      <c r="O21" s="154"/>
      <c r="P21" s="154"/>
      <c r="Q21" s="154"/>
      <c r="R21" s="154"/>
      <c r="S21" s="154"/>
      <c r="T21" s="154"/>
      <c r="U21" s="154"/>
      <c r="V21" s="154"/>
      <c r="W21" s="154"/>
      <c r="X21" s="154"/>
      <c r="Y21" s="154"/>
      <c r="Z21" s="154"/>
    </row>
    <row r="22" ht="15.75" customHeight="1">
      <c r="A22" s="175"/>
      <c r="B22" s="175" t="s">
        <v>310</v>
      </c>
      <c r="C22" s="174"/>
      <c r="D22" s="174"/>
      <c r="E22" s="174"/>
      <c r="F22" s="174"/>
      <c r="G22" s="176">
        <f>C11-C19</f>
        <v>100</v>
      </c>
      <c r="H22" s="175" t="s">
        <v>295</v>
      </c>
      <c r="I22" s="174"/>
      <c r="J22" s="174"/>
      <c r="K22" s="174"/>
      <c r="L22" s="174"/>
      <c r="M22" s="174"/>
      <c r="N22" s="154"/>
      <c r="O22" s="154"/>
      <c r="P22" s="154"/>
      <c r="Q22" s="154"/>
      <c r="R22" s="154"/>
      <c r="S22" s="154"/>
      <c r="T22" s="154"/>
      <c r="U22" s="154"/>
      <c r="V22" s="154"/>
      <c r="W22" s="154"/>
      <c r="X22" s="154"/>
      <c r="Y22" s="154"/>
      <c r="Z22" s="154"/>
    </row>
    <row r="23" ht="15.75" customHeight="1">
      <c r="A23" s="154"/>
      <c r="B23" s="152" t="s">
        <v>311</v>
      </c>
      <c r="C23" s="152"/>
      <c r="D23" s="154"/>
      <c r="E23" s="152"/>
      <c r="F23" s="154"/>
      <c r="G23" s="177">
        <f>G9-G17</f>
        <v>123</v>
      </c>
      <c r="H23" s="152" t="s">
        <v>312</v>
      </c>
      <c r="I23" s="154"/>
      <c r="J23" s="154"/>
      <c r="K23" s="154"/>
      <c r="L23" s="154"/>
      <c r="M23" s="154"/>
      <c r="N23" s="154"/>
      <c r="O23" s="154"/>
      <c r="P23" s="154"/>
      <c r="Q23" s="154"/>
      <c r="R23" s="154"/>
      <c r="S23" s="154"/>
      <c r="T23" s="154"/>
      <c r="U23" s="154"/>
      <c r="V23" s="154"/>
      <c r="W23" s="154"/>
      <c r="X23" s="154"/>
      <c r="Y23" s="154"/>
      <c r="Z23" s="154"/>
    </row>
    <row r="24" ht="15.75" customHeight="1">
      <c r="A24" s="154"/>
      <c r="B24" s="152" t="s">
        <v>313</v>
      </c>
      <c r="C24" s="152"/>
      <c r="D24" s="154"/>
      <c r="E24" s="152"/>
      <c r="F24" s="154"/>
      <c r="G24" s="178">
        <f>(C11-C19)/G23</f>
        <v>0.8130081301</v>
      </c>
      <c r="H24" s="152" t="s">
        <v>314</v>
      </c>
      <c r="I24" s="154"/>
      <c r="J24" s="154"/>
      <c r="K24" s="154"/>
      <c r="L24" s="154"/>
      <c r="M24" s="154"/>
      <c r="N24" s="154"/>
      <c r="O24" s="154"/>
      <c r="P24" s="154"/>
      <c r="Q24" s="154"/>
      <c r="R24" s="154"/>
      <c r="S24" s="154"/>
      <c r="T24" s="154"/>
      <c r="U24" s="154"/>
      <c r="V24" s="154"/>
      <c r="W24" s="154"/>
      <c r="X24" s="154"/>
      <c r="Y24" s="154"/>
      <c r="Z24" s="154"/>
    </row>
    <row r="25" ht="15.75" customHeight="1">
      <c r="A25" s="154"/>
      <c r="B25" s="152" t="s">
        <v>315</v>
      </c>
      <c r="C25" s="154" t="s">
        <v>316</v>
      </c>
      <c r="D25" s="154"/>
      <c r="E25" s="152"/>
      <c r="F25" s="154"/>
      <c r="G25" s="178">
        <f>'Drylot Lamb Finishing Feed Cost'!E19</f>
        <v>4.6406055</v>
      </c>
      <c r="H25" s="152" t="s">
        <v>317</v>
      </c>
      <c r="I25" s="154"/>
      <c r="J25" s="154"/>
      <c r="K25" s="154"/>
      <c r="L25" s="154"/>
      <c r="M25" s="154"/>
      <c r="N25" s="154"/>
      <c r="O25" s="154"/>
      <c r="P25" s="154"/>
      <c r="Q25" s="154"/>
      <c r="R25" s="154"/>
      <c r="S25" s="154"/>
      <c r="T25" s="154"/>
      <c r="U25" s="154"/>
      <c r="V25" s="154"/>
      <c r="W25" s="154"/>
      <c r="X25" s="154"/>
      <c r="Y25" s="154"/>
      <c r="Z25" s="154"/>
    </row>
    <row r="26" ht="15.75" customHeight="1">
      <c r="A26" s="154"/>
      <c r="B26" s="152"/>
      <c r="C26" s="152"/>
      <c r="D26" s="154"/>
      <c r="E26" s="152"/>
      <c r="F26" s="154"/>
      <c r="G26" s="179"/>
      <c r="H26" s="152"/>
      <c r="I26" s="154"/>
      <c r="J26" s="154"/>
      <c r="K26" s="154"/>
      <c r="L26" s="154"/>
      <c r="M26" s="154"/>
      <c r="N26" s="154"/>
      <c r="O26" s="154"/>
      <c r="P26" s="154"/>
      <c r="Q26" s="154"/>
      <c r="R26" s="154"/>
      <c r="S26" s="154"/>
      <c r="T26" s="154"/>
      <c r="U26" s="154"/>
      <c r="V26" s="154"/>
      <c r="W26" s="154"/>
      <c r="X26" s="154"/>
      <c r="Y26" s="154"/>
      <c r="Z26" s="154"/>
    </row>
    <row r="27" ht="15.75" customHeight="1">
      <c r="A27" s="173"/>
      <c r="B27" s="172" t="s">
        <v>318</v>
      </c>
      <c r="C27" s="173"/>
      <c r="D27" s="173"/>
      <c r="E27" s="173"/>
      <c r="F27" s="173"/>
      <c r="G27" s="173"/>
      <c r="H27" s="173"/>
      <c r="I27" s="173"/>
      <c r="J27" s="173"/>
      <c r="K27" s="180"/>
      <c r="L27" s="180"/>
      <c r="M27" s="174"/>
      <c r="N27" s="174"/>
      <c r="O27" s="174"/>
      <c r="P27" s="174"/>
      <c r="Q27" s="174"/>
      <c r="R27" s="174"/>
      <c r="S27" s="174"/>
      <c r="T27" s="174"/>
      <c r="U27" s="174"/>
      <c r="V27" s="174"/>
      <c r="W27" s="174"/>
      <c r="X27" s="174"/>
      <c r="Y27" s="174"/>
      <c r="Z27" s="174"/>
    </row>
    <row r="28" ht="15.75" customHeight="1">
      <c r="A28" s="154"/>
      <c r="B28" s="170" t="s">
        <v>319</v>
      </c>
      <c r="C28" s="181"/>
      <c r="D28" s="181"/>
      <c r="E28" s="181"/>
      <c r="F28" s="181"/>
      <c r="G28" s="181"/>
      <c r="H28" s="154"/>
      <c r="I28" s="154"/>
      <c r="J28" s="154"/>
      <c r="K28" s="154"/>
      <c r="L28" s="154"/>
      <c r="M28" s="154"/>
      <c r="N28" s="154"/>
      <c r="O28" s="154"/>
      <c r="P28" s="154"/>
      <c r="Q28" s="154"/>
      <c r="R28" s="154"/>
      <c r="S28" s="154"/>
      <c r="T28" s="154"/>
      <c r="U28" s="154"/>
      <c r="V28" s="154"/>
      <c r="W28" s="154"/>
      <c r="X28" s="154"/>
      <c r="Y28" s="154"/>
      <c r="Z28" s="154"/>
    </row>
    <row r="29" ht="15.75" customHeight="1">
      <c r="A29" s="154"/>
      <c r="B29" s="152" t="s">
        <v>320</v>
      </c>
      <c r="C29" s="154"/>
      <c r="D29" s="154"/>
      <c r="E29" s="154"/>
      <c r="F29" s="154"/>
      <c r="G29" s="166">
        <f>'Drylot Lamb Finishing Feed Cost'!J19</f>
        <v>0.680725</v>
      </c>
      <c r="H29" s="154"/>
      <c r="I29" s="154"/>
      <c r="J29" s="152" t="s">
        <v>321</v>
      </c>
      <c r="K29" s="154"/>
      <c r="L29" s="154"/>
      <c r="M29" s="154"/>
      <c r="N29" s="154"/>
      <c r="O29" s="154"/>
      <c r="P29" s="154"/>
      <c r="Q29" s="154"/>
      <c r="R29" s="154"/>
      <c r="S29" s="154"/>
      <c r="T29" s="154"/>
      <c r="U29" s="154"/>
      <c r="V29" s="154"/>
      <c r="W29" s="154"/>
      <c r="X29" s="154"/>
      <c r="Y29" s="154"/>
      <c r="Z29" s="154"/>
    </row>
    <row r="30" ht="15.75" customHeight="1">
      <c r="A30" s="154"/>
      <c r="B30" s="152" t="s">
        <v>322</v>
      </c>
      <c r="C30" s="154"/>
      <c r="D30" s="154"/>
      <c r="E30" s="154"/>
      <c r="F30" s="154"/>
      <c r="G30" s="166">
        <f>'Drylot Lamb Finishing Feed Cost'!J20</f>
        <v>0.83729175</v>
      </c>
      <c r="H30" s="154"/>
      <c r="I30" s="154"/>
      <c r="J30" s="152" t="s">
        <v>323</v>
      </c>
      <c r="K30" s="154"/>
      <c r="L30" s="154"/>
      <c r="M30" s="154"/>
      <c r="N30" s="154"/>
      <c r="O30" s="154"/>
      <c r="P30" s="154"/>
      <c r="Q30" s="154"/>
      <c r="R30" s="154"/>
      <c r="S30" s="154"/>
      <c r="T30" s="154"/>
      <c r="U30" s="154"/>
      <c r="V30" s="154"/>
      <c r="W30" s="154"/>
      <c r="X30" s="154"/>
      <c r="Y30" s="154"/>
      <c r="Z30" s="154"/>
    </row>
    <row r="31" ht="15.75" customHeight="1">
      <c r="A31" s="154"/>
      <c r="B31" s="152" t="s">
        <v>324</v>
      </c>
      <c r="C31" s="154"/>
      <c r="D31" s="154"/>
      <c r="E31" s="154"/>
      <c r="F31" s="154"/>
      <c r="G31" s="166">
        <f>'Drylot Lamb Finishing Feed Cost'!J18</f>
        <v>83.729175</v>
      </c>
      <c r="H31" s="154"/>
      <c r="I31" s="154"/>
      <c r="J31" s="166">
        <f>G31*I19</f>
        <v>6279.688125</v>
      </c>
      <c r="K31" s="154"/>
      <c r="L31" s="154"/>
      <c r="M31" s="154"/>
      <c r="N31" s="154"/>
      <c r="O31" s="154"/>
      <c r="P31" s="154"/>
      <c r="Q31" s="154"/>
      <c r="R31" s="154"/>
      <c r="S31" s="154"/>
      <c r="T31" s="154"/>
      <c r="U31" s="154"/>
      <c r="V31" s="154"/>
      <c r="W31" s="154"/>
      <c r="X31" s="154"/>
      <c r="Y31" s="154"/>
      <c r="Z31" s="154"/>
    </row>
    <row r="32" ht="15.75" customHeight="1">
      <c r="A32" s="154"/>
      <c r="B32" s="152"/>
      <c r="C32" s="154"/>
      <c r="D32" s="154"/>
      <c r="E32" s="154"/>
      <c r="F32" s="154"/>
      <c r="G32" s="179"/>
      <c r="H32" s="154"/>
      <c r="I32" s="154"/>
      <c r="J32" s="154"/>
      <c r="K32" s="154"/>
      <c r="L32" s="154"/>
      <c r="M32" s="154"/>
      <c r="N32" s="154"/>
      <c r="O32" s="154"/>
      <c r="P32" s="154"/>
      <c r="Q32" s="154"/>
      <c r="R32" s="154"/>
      <c r="S32" s="154"/>
      <c r="T32" s="154"/>
      <c r="U32" s="154"/>
      <c r="V32" s="154"/>
      <c r="W32" s="154"/>
      <c r="X32" s="154"/>
      <c r="Y32" s="154"/>
      <c r="Z32" s="154"/>
    </row>
    <row r="33" ht="15.75" customHeight="1">
      <c r="A33" s="172" t="s">
        <v>325</v>
      </c>
      <c r="B33" s="171"/>
      <c r="C33" s="171"/>
      <c r="D33" s="171"/>
      <c r="E33" s="171"/>
      <c r="F33" s="171"/>
      <c r="G33" s="171"/>
      <c r="H33" s="171"/>
      <c r="I33" s="171"/>
      <c r="J33" s="171"/>
      <c r="K33" s="154"/>
      <c r="L33" s="154"/>
      <c r="M33" s="154"/>
      <c r="N33" s="154"/>
      <c r="O33" s="154"/>
      <c r="P33" s="154"/>
      <c r="Q33" s="154"/>
      <c r="R33" s="154"/>
      <c r="S33" s="154"/>
      <c r="T33" s="154"/>
      <c r="U33" s="154"/>
      <c r="V33" s="154"/>
      <c r="W33" s="154"/>
      <c r="X33" s="154"/>
      <c r="Y33" s="154"/>
      <c r="Z33" s="154"/>
    </row>
    <row r="34" ht="15.75" customHeight="1">
      <c r="A34" s="154"/>
      <c r="B34" s="152" t="s">
        <v>188</v>
      </c>
      <c r="C34" s="152"/>
      <c r="D34" s="152"/>
      <c r="E34" s="152"/>
      <c r="F34" s="152"/>
      <c r="G34" s="152" t="s">
        <v>305</v>
      </c>
      <c r="H34" s="154"/>
      <c r="I34" s="154"/>
      <c r="J34" s="152" t="s">
        <v>326</v>
      </c>
      <c r="K34" s="154"/>
      <c r="L34" s="154"/>
      <c r="M34" s="154"/>
      <c r="N34" s="154"/>
      <c r="O34" s="154"/>
      <c r="P34" s="154"/>
      <c r="Q34" s="154"/>
      <c r="R34" s="154"/>
      <c r="S34" s="154"/>
      <c r="T34" s="154"/>
      <c r="U34" s="154"/>
      <c r="V34" s="154"/>
      <c r="W34" s="154"/>
      <c r="X34" s="154"/>
      <c r="Y34" s="154"/>
      <c r="Z34" s="154"/>
    </row>
    <row r="35" ht="15.75" customHeight="1">
      <c r="A35" s="154"/>
      <c r="B35" s="164" t="s">
        <v>327</v>
      </c>
      <c r="C35" s="154"/>
      <c r="D35" s="154"/>
      <c r="E35" s="154"/>
      <c r="F35" s="154"/>
      <c r="G35" s="166">
        <f t="shared" ref="G35:G42" si="2">J35/$I$11</f>
        <v>0.1533333333</v>
      </c>
      <c r="H35" s="154"/>
      <c r="I35" s="154"/>
      <c r="J35" s="165">
        <v>11.5</v>
      </c>
      <c r="K35" s="154"/>
      <c r="L35" s="154"/>
      <c r="M35" s="154"/>
      <c r="N35" s="154"/>
      <c r="O35" s="154"/>
      <c r="P35" s="154"/>
      <c r="Q35" s="154"/>
      <c r="R35" s="154"/>
      <c r="S35" s="154"/>
      <c r="T35" s="154"/>
      <c r="U35" s="154"/>
      <c r="V35" s="154"/>
      <c r="W35" s="154"/>
      <c r="X35" s="154"/>
      <c r="Y35" s="154"/>
      <c r="Z35" s="154"/>
    </row>
    <row r="36" ht="15.75" customHeight="1">
      <c r="A36" s="154"/>
      <c r="B36" s="164" t="s">
        <v>328</v>
      </c>
      <c r="C36" s="154"/>
      <c r="D36" s="154"/>
      <c r="E36" s="154"/>
      <c r="F36" s="154"/>
      <c r="G36" s="166">
        <f t="shared" si="2"/>
        <v>0.1333333333</v>
      </c>
      <c r="H36" s="154"/>
      <c r="I36" s="154"/>
      <c r="J36" s="165">
        <v>10.0</v>
      </c>
      <c r="K36" s="154"/>
      <c r="L36" s="154"/>
      <c r="M36" s="154"/>
      <c r="N36" s="154"/>
      <c r="O36" s="154"/>
      <c r="P36" s="154"/>
      <c r="Q36" s="154"/>
      <c r="R36" s="154"/>
      <c r="S36" s="154"/>
      <c r="T36" s="154"/>
      <c r="U36" s="154"/>
      <c r="V36" s="154"/>
      <c r="W36" s="154"/>
      <c r="X36" s="154"/>
      <c r="Y36" s="154"/>
      <c r="Z36" s="154"/>
    </row>
    <row r="37" ht="15.75" customHeight="1">
      <c r="A37" s="154"/>
      <c r="B37" s="164" t="s">
        <v>329</v>
      </c>
      <c r="C37" s="154"/>
      <c r="D37" s="154"/>
      <c r="E37" s="154"/>
      <c r="F37" s="154"/>
      <c r="G37" s="166">
        <f t="shared" si="2"/>
        <v>0.2</v>
      </c>
      <c r="H37" s="154"/>
      <c r="I37" s="154"/>
      <c r="J37" s="165">
        <v>15.0</v>
      </c>
      <c r="K37" s="154"/>
      <c r="L37" s="154"/>
      <c r="M37" s="154"/>
      <c r="N37" s="154"/>
      <c r="O37" s="154"/>
      <c r="P37" s="154"/>
      <c r="Q37" s="154"/>
      <c r="R37" s="154"/>
      <c r="S37" s="154"/>
      <c r="T37" s="154"/>
      <c r="U37" s="154"/>
      <c r="V37" s="154"/>
      <c r="W37" s="154"/>
      <c r="X37" s="154"/>
      <c r="Y37" s="154"/>
      <c r="Z37" s="154"/>
    </row>
    <row r="38" ht="15.75" customHeight="1">
      <c r="A38" s="154"/>
      <c r="B38" s="164"/>
      <c r="C38" s="154"/>
      <c r="D38" s="154"/>
      <c r="E38" s="154"/>
      <c r="F38" s="154"/>
      <c r="G38" s="166">
        <f t="shared" si="2"/>
        <v>0</v>
      </c>
      <c r="H38" s="154"/>
      <c r="I38" s="154"/>
      <c r="J38" s="165"/>
      <c r="K38" s="154"/>
      <c r="L38" s="154"/>
      <c r="M38" s="154"/>
      <c r="N38" s="154"/>
      <c r="O38" s="154"/>
      <c r="P38" s="154"/>
      <c r="Q38" s="154"/>
      <c r="R38" s="154"/>
      <c r="S38" s="154"/>
      <c r="T38" s="154"/>
      <c r="U38" s="154"/>
      <c r="V38" s="154"/>
      <c r="W38" s="154"/>
      <c r="X38" s="154"/>
      <c r="Y38" s="154"/>
      <c r="Z38" s="154"/>
    </row>
    <row r="39" ht="15.75" customHeight="1">
      <c r="A39" s="154"/>
      <c r="B39" s="164" t="s">
        <v>330</v>
      </c>
      <c r="C39" s="154"/>
      <c r="D39" s="154"/>
      <c r="E39" s="154"/>
      <c r="F39" s="154"/>
      <c r="G39" s="166">
        <f t="shared" si="2"/>
        <v>0.06666666667</v>
      </c>
      <c r="H39" s="154"/>
      <c r="I39" s="154"/>
      <c r="J39" s="165">
        <v>5.0</v>
      </c>
      <c r="K39" s="154"/>
      <c r="L39" s="154"/>
      <c r="M39" s="154"/>
      <c r="N39" s="154"/>
      <c r="O39" s="154"/>
      <c r="P39" s="154"/>
      <c r="Q39" s="154"/>
      <c r="R39" s="154"/>
      <c r="S39" s="154"/>
      <c r="T39" s="154"/>
      <c r="U39" s="154"/>
      <c r="V39" s="154"/>
      <c r="W39" s="154"/>
      <c r="X39" s="154"/>
      <c r="Y39" s="154"/>
      <c r="Z39" s="154"/>
    </row>
    <row r="40" ht="15.75" customHeight="1">
      <c r="A40" s="154"/>
      <c r="B40" s="164"/>
      <c r="C40" s="154"/>
      <c r="D40" s="154"/>
      <c r="E40" s="154"/>
      <c r="F40" s="154"/>
      <c r="G40" s="166">
        <f t="shared" si="2"/>
        <v>0</v>
      </c>
      <c r="H40" s="154"/>
      <c r="I40" s="154"/>
      <c r="J40" s="165"/>
      <c r="K40" s="154"/>
      <c r="L40" s="154"/>
      <c r="M40" s="154"/>
      <c r="N40" s="154"/>
      <c r="O40" s="154"/>
      <c r="P40" s="154"/>
      <c r="Q40" s="154"/>
      <c r="R40" s="154"/>
      <c r="S40" s="154"/>
      <c r="T40" s="154"/>
      <c r="U40" s="154"/>
      <c r="V40" s="154"/>
      <c r="W40" s="154"/>
      <c r="X40" s="154"/>
      <c r="Y40" s="154"/>
      <c r="Z40" s="154"/>
    </row>
    <row r="41" ht="15.75" customHeight="1">
      <c r="A41" s="154"/>
      <c r="B41" s="164"/>
      <c r="C41" s="154"/>
      <c r="D41" s="154"/>
      <c r="E41" s="154"/>
      <c r="F41" s="154"/>
      <c r="G41" s="166">
        <f t="shared" si="2"/>
        <v>0</v>
      </c>
      <c r="H41" s="154"/>
      <c r="I41" s="154"/>
      <c r="J41" s="165">
        <v>0.0</v>
      </c>
      <c r="K41" s="154"/>
      <c r="L41" s="154"/>
      <c r="M41" s="154"/>
      <c r="N41" s="154"/>
      <c r="O41" s="154"/>
      <c r="P41" s="154"/>
      <c r="Q41" s="154"/>
      <c r="R41" s="154"/>
      <c r="S41" s="154"/>
      <c r="T41" s="154"/>
      <c r="U41" s="154"/>
      <c r="V41" s="154"/>
      <c r="W41" s="154"/>
      <c r="X41" s="154"/>
      <c r="Y41" s="154"/>
      <c r="Z41" s="154"/>
    </row>
    <row r="42" ht="15.75" customHeight="1">
      <c r="A42" s="154"/>
      <c r="B42" s="164"/>
      <c r="C42" s="154"/>
      <c r="D42" s="154"/>
      <c r="E42" s="154"/>
      <c r="F42" s="154"/>
      <c r="G42" s="166">
        <f t="shared" si="2"/>
        <v>0</v>
      </c>
      <c r="H42" s="154"/>
      <c r="I42" s="154"/>
      <c r="J42" s="165"/>
      <c r="K42" s="154"/>
      <c r="L42" s="154"/>
      <c r="M42" s="154"/>
      <c r="N42" s="154"/>
      <c r="O42" s="154"/>
      <c r="P42" s="154"/>
      <c r="Q42" s="154"/>
      <c r="R42" s="154"/>
      <c r="S42" s="154"/>
      <c r="T42" s="154"/>
      <c r="U42" s="154"/>
      <c r="V42" s="154"/>
      <c r="W42" s="154"/>
      <c r="X42" s="154"/>
      <c r="Y42" s="154"/>
      <c r="Z42" s="154"/>
    </row>
    <row r="43" ht="15.75" customHeight="1">
      <c r="A43" s="154"/>
      <c r="B43" s="152" t="s">
        <v>143</v>
      </c>
      <c r="C43" s="154"/>
      <c r="D43" s="154"/>
      <c r="E43" s="154"/>
      <c r="F43" s="154"/>
      <c r="G43" s="166">
        <f>SUM(G35:G42)</f>
        <v>0.5533333333</v>
      </c>
      <c r="H43" s="154"/>
      <c r="I43" s="154"/>
      <c r="J43" s="166">
        <f>SUM(J35:J42)</f>
        <v>41.5</v>
      </c>
      <c r="K43" s="154"/>
      <c r="L43" s="154"/>
      <c r="M43" s="154"/>
      <c r="N43" s="154"/>
      <c r="O43" s="154"/>
      <c r="P43" s="154"/>
      <c r="Q43" s="154"/>
      <c r="R43" s="154"/>
      <c r="S43" s="154"/>
      <c r="T43" s="154"/>
      <c r="U43" s="154"/>
      <c r="V43" s="154"/>
      <c r="W43" s="154"/>
      <c r="X43" s="154"/>
      <c r="Y43" s="154"/>
      <c r="Z43" s="154"/>
    </row>
    <row r="44" ht="15.75" customHeight="1">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ht="15.75" customHeight="1">
      <c r="A45" s="182" t="s">
        <v>331</v>
      </c>
      <c r="B45" s="171"/>
      <c r="C45" s="171"/>
      <c r="D45" s="171"/>
      <c r="E45" s="171"/>
      <c r="F45" s="171"/>
      <c r="G45" s="171"/>
      <c r="H45" s="171"/>
      <c r="I45" s="171"/>
      <c r="J45" s="171"/>
      <c r="K45" s="154"/>
      <c r="L45" s="154"/>
      <c r="M45" s="154"/>
      <c r="N45" s="154"/>
      <c r="O45" s="154"/>
      <c r="P45" s="154"/>
      <c r="Q45" s="154"/>
      <c r="R45" s="154"/>
      <c r="S45" s="154"/>
      <c r="T45" s="154"/>
      <c r="U45" s="154"/>
      <c r="V45" s="154"/>
      <c r="W45" s="154"/>
      <c r="X45" s="154"/>
      <c r="Y45" s="154"/>
      <c r="Z45" s="154"/>
    </row>
    <row r="46" ht="15.75" customHeight="1">
      <c r="A46" s="152"/>
      <c r="B46" s="154"/>
      <c r="C46" s="154"/>
      <c r="D46" s="154"/>
      <c r="E46" s="154"/>
      <c r="F46" s="154"/>
      <c r="G46" s="152" t="s">
        <v>305</v>
      </c>
      <c r="H46" s="154"/>
      <c r="I46" s="154"/>
      <c r="J46" s="152" t="s">
        <v>326</v>
      </c>
      <c r="K46" s="154"/>
      <c r="L46" s="154"/>
      <c r="M46" s="154"/>
      <c r="N46" s="154"/>
      <c r="O46" s="154"/>
      <c r="P46" s="154"/>
      <c r="Q46" s="154"/>
      <c r="R46" s="154"/>
      <c r="S46" s="154"/>
      <c r="T46" s="154"/>
      <c r="U46" s="154"/>
      <c r="V46" s="154"/>
      <c r="W46" s="154"/>
      <c r="X46" s="154"/>
      <c r="Y46" s="154"/>
      <c r="Z46" s="154"/>
    </row>
    <row r="47" ht="15.75" customHeight="1">
      <c r="A47" s="180"/>
      <c r="B47" s="175" t="s">
        <v>332</v>
      </c>
      <c r="C47" s="183">
        <v>5.0</v>
      </c>
      <c r="D47" s="184" t="s">
        <v>333</v>
      </c>
      <c r="E47" s="185"/>
      <c r="F47" s="186"/>
      <c r="G47" s="187">
        <f>(G11+G12)*(C47/100)</f>
        <v>16.6545</v>
      </c>
      <c r="H47" s="188"/>
      <c r="I47" s="180"/>
      <c r="J47" s="189">
        <f t="shared" ref="J47:J49" si="3">G47*$I$11</f>
        <v>1249.0875</v>
      </c>
      <c r="K47" s="154"/>
      <c r="L47" s="154"/>
      <c r="M47" s="154"/>
      <c r="N47" s="154"/>
      <c r="O47" s="154"/>
      <c r="P47" s="154"/>
      <c r="Q47" s="154"/>
      <c r="R47" s="154"/>
      <c r="S47" s="154"/>
      <c r="T47" s="154"/>
      <c r="U47" s="154"/>
      <c r="V47" s="154"/>
      <c r="W47" s="154"/>
      <c r="X47" s="154"/>
      <c r="Y47" s="154"/>
      <c r="Z47" s="154"/>
    </row>
    <row r="48" ht="15.75" customHeight="1">
      <c r="A48" s="180"/>
      <c r="B48" s="175" t="s">
        <v>334</v>
      </c>
      <c r="C48" s="190">
        <f>G19</f>
        <v>150</v>
      </c>
      <c r="D48" s="184" t="s">
        <v>335</v>
      </c>
      <c r="E48" s="191">
        <v>6.0</v>
      </c>
      <c r="F48" s="192" t="s">
        <v>336</v>
      </c>
      <c r="G48" s="187">
        <f>C48*(E48/100)*(G$23/365)</f>
        <v>3.032876712</v>
      </c>
      <c r="H48" s="193" t="s">
        <v>337</v>
      </c>
      <c r="I48" s="180"/>
      <c r="J48" s="189">
        <f t="shared" si="3"/>
        <v>227.4657534</v>
      </c>
      <c r="K48" s="154"/>
      <c r="L48" s="154"/>
      <c r="M48" s="154"/>
      <c r="N48" s="154"/>
      <c r="O48" s="154"/>
      <c r="P48" s="154"/>
      <c r="Q48" s="154"/>
      <c r="R48" s="154"/>
      <c r="S48" s="154"/>
      <c r="T48" s="154"/>
      <c r="U48" s="154"/>
      <c r="V48" s="154"/>
      <c r="W48" s="154"/>
      <c r="X48" s="154"/>
      <c r="Y48" s="154"/>
      <c r="Z48" s="154"/>
    </row>
    <row r="49" ht="15.75" customHeight="1">
      <c r="A49" s="180"/>
      <c r="B49" s="175" t="s">
        <v>338</v>
      </c>
      <c r="C49" s="187">
        <f>G31</f>
        <v>83.729175</v>
      </c>
      <c r="D49" s="184" t="s">
        <v>335</v>
      </c>
      <c r="E49" s="194">
        <v>6.0</v>
      </c>
      <c r="F49" s="192" t="s">
        <v>336</v>
      </c>
      <c r="G49" s="187">
        <f>(C49)*(E49/100)*(G23/365)</f>
        <v>1.6929351</v>
      </c>
      <c r="H49" s="193" t="s">
        <v>337</v>
      </c>
      <c r="I49" s="180"/>
      <c r="J49" s="189">
        <f t="shared" si="3"/>
        <v>126.9701325</v>
      </c>
      <c r="K49" s="154"/>
      <c r="L49" s="152" t="s">
        <v>339</v>
      </c>
      <c r="M49" s="152"/>
      <c r="N49" s="154"/>
      <c r="O49" s="154"/>
      <c r="P49" s="154"/>
      <c r="Q49" s="154"/>
      <c r="R49" s="154"/>
      <c r="S49" s="154"/>
      <c r="T49" s="154"/>
      <c r="U49" s="154"/>
      <c r="V49" s="154"/>
      <c r="W49" s="154"/>
      <c r="X49" s="154"/>
      <c r="Y49" s="154"/>
      <c r="Z49" s="154"/>
    </row>
    <row r="50" ht="15.75" customHeight="1">
      <c r="A50" s="180"/>
      <c r="B50" s="175" t="s">
        <v>29</v>
      </c>
      <c r="C50" s="195"/>
      <c r="D50" s="184"/>
      <c r="E50" s="196"/>
      <c r="F50" s="192"/>
      <c r="G50" s="187">
        <f t="shared" ref="G50:G56" si="4">J50/$I$11</f>
        <v>2.333333333</v>
      </c>
      <c r="H50" s="184" t="s">
        <v>340</v>
      </c>
      <c r="I50" s="180"/>
      <c r="J50" s="197">
        <v>175.0</v>
      </c>
      <c r="K50" s="154"/>
      <c r="L50" s="154"/>
      <c r="M50" s="154"/>
      <c r="N50" s="154"/>
      <c r="O50" s="154"/>
      <c r="P50" s="154"/>
      <c r="Q50" s="154"/>
      <c r="R50" s="154"/>
      <c r="S50" s="154"/>
      <c r="T50" s="154"/>
      <c r="U50" s="154"/>
      <c r="V50" s="154"/>
      <c r="W50" s="154"/>
      <c r="X50" s="154"/>
      <c r="Y50" s="154"/>
      <c r="Z50" s="154"/>
    </row>
    <row r="51" ht="15.75" customHeight="1">
      <c r="A51" s="180"/>
      <c r="B51" s="175" t="s">
        <v>155</v>
      </c>
      <c r="C51" s="195"/>
      <c r="D51" s="184"/>
      <c r="E51" s="198"/>
      <c r="F51" s="192"/>
      <c r="G51" s="187">
        <f t="shared" si="4"/>
        <v>5</v>
      </c>
      <c r="H51" s="184" t="s">
        <v>340</v>
      </c>
      <c r="I51" s="180"/>
      <c r="J51" s="197">
        <v>375.0</v>
      </c>
      <c r="K51" s="154"/>
      <c r="L51" s="164">
        <v>5.0</v>
      </c>
      <c r="M51" s="152" t="s">
        <v>341</v>
      </c>
      <c r="N51" s="154"/>
      <c r="O51" s="154"/>
      <c r="P51" s="154"/>
      <c r="Q51" s="154"/>
      <c r="R51" s="154"/>
      <c r="S51" s="154"/>
      <c r="T51" s="154"/>
      <c r="U51" s="154"/>
      <c r="V51" s="154"/>
      <c r="W51" s="154"/>
      <c r="X51" s="154"/>
      <c r="Y51" s="154"/>
      <c r="Z51" s="154"/>
    </row>
    <row r="52" ht="15.75" customHeight="1">
      <c r="A52" s="180"/>
      <c r="B52" s="175" t="s">
        <v>342</v>
      </c>
      <c r="C52" s="180"/>
      <c r="D52" s="196"/>
      <c r="E52" s="186"/>
      <c r="F52" s="192"/>
      <c r="G52" s="187">
        <f t="shared" si="4"/>
        <v>3</v>
      </c>
      <c r="H52" s="199" t="s">
        <v>340</v>
      </c>
      <c r="I52" s="180"/>
      <c r="J52" s="197">
        <v>225.0</v>
      </c>
      <c r="K52" s="154"/>
      <c r="L52" s="165">
        <v>35.0</v>
      </c>
      <c r="M52" s="152" t="s">
        <v>343</v>
      </c>
      <c r="N52" s="154"/>
      <c r="O52" s="154"/>
      <c r="P52" s="154"/>
      <c r="Q52" s="154"/>
      <c r="R52" s="154"/>
      <c r="S52" s="154"/>
      <c r="T52" s="154"/>
      <c r="U52" s="154"/>
      <c r="V52" s="154"/>
      <c r="W52" s="154"/>
      <c r="X52" s="154"/>
      <c r="Y52" s="154"/>
      <c r="Z52" s="154"/>
    </row>
    <row r="53" ht="15.75" customHeight="1">
      <c r="A53" s="180"/>
      <c r="B53" s="175" t="s">
        <v>344</v>
      </c>
      <c r="C53" s="180"/>
      <c r="D53" s="196"/>
      <c r="E53" s="186"/>
      <c r="F53" s="184"/>
      <c r="G53" s="187">
        <f t="shared" si="4"/>
        <v>5</v>
      </c>
      <c r="H53" s="199" t="s">
        <v>340</v>
      </c>
      <c r="I53" s="180"/>
      <c r="J53" s="197">
        <v>375.0</v>
      </c>
      <c r="K53" s="154"/>
      <c r="L53" s="166">
        <f>(L51*L52)</f>
        <v>175</v>
      </c>
      <c r="M53" s="152" t="s">
        <v>345</v>
      </c>
      <c r="N53" s="154"/>
      <c r="O53" s="154"/>
      <c r="P53" s="154"/>
      <c r="Q53" s="154"/>
      <c r="R53" s="154"/>
      <c r="S53" s="154"/>
      <c r="T53" s="154"/>
      <c r="U53" s="154"/>
      <c r="V53" s="154"/>
      <c r="W53" s="154"/>
      <c r="X53" s="154"/>
      <c r="Y53" s="154"/>
      <c r="Z53" s="154"/>
    </row>
    <row r="54" ht="15.75" customHeight="1">
      <c r="A54" s="180"/>
      <c r="B54" s="175" t="s">
        <v>346</v>
      </c>
      <c r="C54" s="196"/>
      <c r="D54" s="196"/>
      <c r="E54" s="186"/>
      <c r="F54" s="154"/>
      <c r="G54" s="190">
        <f t="shared" si="4"/>
        <v>3.5</v>
      </c>
      <c r="H54" s="192" t="s">
        <v>340</v>
      </c>
      <c r="I54" s="180"/>
      <c r="J54" s="197">
        <v>262.5</v>
      </c>
      <c r="K54" s="154"/>
      <c r="L54" s="154"/>
      <c r="M54" s="154"/>
      <c r="N54" s="154"/>
      <c r="O54" s="154"/>
      <c r="P54" s="154"/>
      <c r="Q54" s="154"/>
      <c r="R54" s="154"/>
      <c r="S54" s="154"/>
      <c r="T54" s="154"/>
      <c r="U54" s="154"/>
      <c r="V54" s="154"/>
      <c r="W54" s="154"/>
      <c r="X54" s="154"/>
      <c r="Y54" s="154"/>
      <c r="Z54" s="154"/>
    </row>
    <row r="55" ht="15.75" customHeight="1">
      <c r="A55" s="180"/>
      <c r="B55" s="175" t="s">
        <v>347</v>
      </c>
      <c r="C55" s="180"/>
      <c r="D55" s="180"/>
      <c r="E55" s="198"/>
      <c r="F55" s="154"/>
      <c r="G55" s="190">
        <f t="shared" si="4"/>
        <v>0</v>
      </c>
      <c r="H55" s="184" t="s">
        <v>340</v>
      </c>
      <c r="I55" s="180"/>
      <c r="J55" s="197">
        <v>0.0</v>
      </c>
      <c r="K55" s="154"/>
      <c r="L55" s="154"/>
      <c r="M55" s="154"/>
      <c r="N55" s="154"/>
      <c r="O55" s="154"/>
      <c r="P55" s="154"/>
      <c r="Q55" s="154"/>
      <c r="R55" s="154"/>
      <c r="S55" s="154"/>
      <c r="T55" s="154"/>
      <c r="U55" s="154"/>
      <c r="V55" s="154"/>
      <c r="W55" s="154"/>
      <c r="X55" s="154"/>
      <c r="Y55" s="154"/>
      <c r="Z55" s="154"/>
    </row>
    <row r="56" ht="15.75" customHeight="1">
      <c r="A56" s="180"/>
      <c r="B56" s="175" t="s">
        <v>348</v>
      </c>
      <c r="C56" s="180"/>
      <c r="D56" s="180"/>
      <c r="E56" s="186"/>
      <c r="F56" s="154"/>
      <c r="G56" s="190">
        <f t="shared" si="4"/>
        <v>0</v>
      </c>
      <c r="H56" s="184" t="s">
        <v>349</v>
      </c>
      <c r="I56" s="180"/>
      <c r="J56" s="197">
        <v>0.0</v>
      </c>
      <c r="K56" s="154"/>
      <c r="L56" s="154"/>
      <c r="M56" s="154"/>
      <c r="N56" s="154"/>
      <c r="O56" s="154"/>
      <c r="P56" s="154"/>
      <c r="Q56" s="154"/>
      <c r="R56" s="154"/>
      <c r="S56" s="154"/>
      <c r="T56" s="154"/>
      <c r="U56" s="154"/>
      <c r="V56" s="154"/>
      <c r="W56" s="154"/>
      <c r="X56" s="154"/>
      <c r="Y56" s="154"/>
      <c r="Z56" s="154"/>
    </row>
    <row r="57" ht="15.75" customHeight="1">
      <c r="A57" s="180"/>
      <c r="B57" s="152" t="s">
        <v>350</v>
      </c>
      <c r="C57" s="196"/>
      <c r="D57" s="196"/>
      <c r="E57" s="196"/>
      <c r="F57" s="196"/>
      <c r="G57" s="187">
        <f>SUM(G47:G56)</f>
        <v>40.21364515</v>
      </c>
      <c r="H57" s="188"/>
      <c r="I57" s="180"/>
      <c r="J57" s="189">
        <f>G57*$I$11</f>
        <v>3016.023386</v>
      </c>
      <c r="K57" s="154"/>
      <c r="L57" s="154"/>
      <c r="M57" s="154"/>
      <c r="N57" s="154"/>
      <c r="O57" s="154"/>
      <c r="P57" s="154"/>
      <c r="Q57" s="154"/>
      <c r="R57" s="154"/>
      <c r="S57" s="154"/>
      <c r="T57" s="154"/>
      <c r="U57" s="154"/>
      <c r="V57" s="154"/>
      <c r="W57" s="154"/>
      <c r="X57" s="154"/>
      <c r="Y57" s="154"/>
      <c r="Z57" s="154"/>
    </row>
    <row r="58" ht="15.75" customHeight="1">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ht="15.75" customHeight="1">
      <c r="A59" s="182" t="s">
        <v>351</v>
      </c>
      <c r="B59" s="171"/>
      <c r="C59" s="171"/>
      <c r="D59" s="171"/>
      <c r="E59" s="171"/>
      <c r="F59" s="171"/>
      <c r="G59" s="171"/>
      <c r="H59" s="171"/>
      <c r="I59" s="171"/>
      <c r="J59" s="171"/>
      <c r="K59" s="154"/>
      <c r="L59" s="154"/>
      <c r="M59" s="154"/>
      <c r="N59" s="154"/>
      <c r="O59" s="154"/>
      <c r="P59" s="154"/>
      <c r="Q59" s="154"/>
      <c r="R59" s="154"/>
      <c r="S59" s="154"/>
      <c r="T59" s="154"/>
      <c r="U59" s="154"/>
      <c r="V59" s="154"/>
      <c r="W59" s="154"/>
      <c r="X59" s="154"/>
      <c r="Y59" s="154"/>
      <c r="Z59" s="154"/>
    </row>
    <row r="60" ht="15.75" customHeight="1">
      <c r="A60" s="154"/>
      <c r="B60" s="181" t="s">
        <v>352</v>
      </c>
      <c r="C60" s="181"/>
      <c r="D60" s="181"/>
      <c r="E60" s="181"/>
      <c r="F60" s="181"/>
      <c r="G60" s="181"/>
      <c r="H60" s="154"/>
      <c r="I60" s="154"/>
      <c r="J60" s="154"/>
      <c r="K60" s="154"/>
      <c r="L60" s="154"/>
      <c r="M60" s="154"/>
      <c r="N60" s="154"/>
      <c r="O60" s="154"/>
      <c r="P60" s="154"/>
      <c r="Q60" s="154"/>
      <c r="R60" s="154"/>
      <c r="S60" s="154"/>
      <c r="T60" s="154"/>
      <c r="U60" s="154"/>
      <c r="V60" s="154"/>
      <c r="W60" s="154"/>
      <c r="X60" s="154"/>
      <c r="Y60" s="154"/>
      <c r="Z60" s="154"/>
    </row>
    <row r="61" ht="15.75" customHeight="1">
      <c r="A61" s="200"/>
      <c r="B61" s="175" t="s">
        <v>353</v>
      </c>
      <c r="C61" s="197">
        <v>0.25</v>
      </c>
      <c r="D61" s="175" t="s">
        <v>354</v>
      </c>
      <c r="E61" s="201">
        <f>G23</f>
        <v>123</v>
      </c>
      <c r="F61" s="202" t="s">
        <v>312</v>
      </c>
      <c r="G61" s="189">
        <f>C61*E61</f>
        <v>30.75</v>
      </c>
      <c r="H61" s="199" t="s">
        <v>340</v>
      </c>
      <c r="I61" s="180"/>
      <c r="J61" s="189">
        <f>G61*$I$11</f>
        <v>2306.25</v>
      </c>
      <c r="K61" s="154"/>
      <c r="L61" s="154"/>
      <c r="M61" s="154"/>
      <c r="N61" s="154"/>
      <c r="O61" s="154"/>
      <c r="P61" s="154"/>
      <c r="Q61" s="154"/>
      <c r="R61" s="154"/>
      <c r="S61" s="154"/>
      <c r="T61" s="154"/>
      <c r="U61" s="154"/>
      <c r="V61" s="154"/>
      <c r="W61" s="154"/>
      <c r="X61" s="154"/>
      <c r="Y61" s="154"/>
      <c r="Z61" s="154"/>
    </row>
    <row r="62" ht="15.75" customHeight="1">
      <c r="A62" s="200"/>
      <c r="B62" s="175" t="s">
        <v>355</v>
      </c>
      <c r="C62" s="203"/>
      <c r="D62" s="175"/>
      <c r="E62" s="204"/>
      <c r="F62" s="202"/>
      <c r="G62" s="199"/>
      <c r="H62" s="199"/>
      <c r="I62" s="180"/>
      <c r="J62" s="203"/>
      <c r="K62" s="154"/>
      <c r="L62" s="154"/>
      <c r="M62" s="154"/>
      <c r="N62" s="154"/>
      <c r="O62" s="154"/>
      <c r="P62" s="154"/>
      <c r="Q62" s="154"/>
      <c r="R62" s="154"/>
      <c r="S62" s="154"/>
      <c r="T62" s="154"/>
      <c r="U62" s="154"/>
      <c r="V62" s="154"/>
      <c r="W62" s="154"/>
      <c r="X62" s="154"/>
      <c r="Y62" s="154"/>
      <c r="Z62" s="154"/>
    </row>
    <row r="63" ht="15.75" customHeight="1">
      <c r="A63" s="182" t="s">
        <v>356</v>
      </c>
      <c r="B63" s="171"/>
      <c r="C63" s="171"/>
      <c r="D63" s="171"/>
      <c r="E63" s="171"/>
      <c r="F63" s="171"/>
      <c r="G63" s="171"/>
      <c r="H63" s="171"/>
      <c r="I63" s="171"/>
      <c r="J63" s="171"/>
      <c r="K63" s="154"/>
      <c r="L63" s="154"/>
      <c r="M63" s="154"/>
      <c r="N63" s="154"/>
      <c r="O63" s="154"/>
      <c r="P63" s="154"/>
      <c r="Q63" s="154"/>
      <c r="R63" s="154"/>
      <c r="S63" s="154"/>
      <c r="T63" s="154"/>
      <c r="U63" s="154"/>
      <c r="V63" s="154"/>
      <c r="W63" s="154"/>
      <c r="X63" s="154"/>
      <c r="Y63" s="154"/>
      <c r="Z63" s="154"/>
    </row>
    <row r="64" ht="15.75" customHeight="1">
      <c r="A64" s="154"/>
      <c r="B64" s="181" t="s">
        <v>357</v>
      </c>
      <c r="C64" s="181"/>
      <c r="D64" s="181"/>
      <c r="E64" s="181"/>
      <c r="F64" s="181"/>
      <c r="G64" s="181"/>
      <c r="H64" s="181"/>
      <c r="I64" s="181"/>
      <c r="J64" s="154"/>
      <c r="K64" s="154"/>
      <c r="L64" s="154"/>
      <c r="M64" s="154"/>
      <c r="N64" s="154"/>
      <c r="O64" s="154"/>
      <c r="P64" s="154"/>
      <c r="Q64" s="154"/>
      <c r="R64" s="154"/>
      <c r="S64" s="154"/>
      <c r="T64" s="154"/>
      <c r="U64" s="154"/>
      <c r="V64" s="154"/>
      <c r="W64" s="154"/>
      <c r="X64" s="154"/>
      <c r="Y64" s="154"/>
      <c r="Z64" s="154"/>
    </row>
    <row r="65" ht="15.75" customHeight="1">
      <c r="A65" s="154"/>
      <c r="B65" s="152" t="s">
        <v>356</v>
      </c>
      <c r="C65" s="154"/>
      <c r="D65" s="154"/>
      <c r="E65" s="154"/>
      <c r="F65" s="154"/>
      <c r="G65" s="166">
        <f>(G31+G43+G57+G61)/G22</f>
        <v>1.552461535</v>
      </c>
      <c r="H65" s="152" t="s">
        <v>358</v>
      </c>
      <c r="I65" s="154"/>
      <c r="J65" s="154"/>
      <c r="K65" s="154"/>
      <c r="L65" s="154"/>
      <c r="M65" s="154"/>
      <c r="N65" s="154"/>
      <c r="O65" s="154"/>
      <c r="P65" s="154"/>
      <c r="Q65" s="154"/>
      <c r="R65" s="154"/>
      <c r="S65" s="154"/>
      <c r="T65" s="154"/>
      <c r="U65" s="154"/>
      <c r="V65" s="154"/>
      <c r="W65" s="154"/>
      <c r="X65" s="154"/>
      <c r="Y65" s="154"/>
      <c r="Z65" s="154"/>
    </row>
    <row r="66" ht="15.75" customHeight="1">
      <c r="A66" s="154"/>
      <c r="B66" s="152"/>
      <c r="C66" s="154"/>
      <c r="D66" s="154"/>
      <c r="E66" s="154"/>
      <c r="F66" s="154"/>
      <c r="G66" s="205"/>
      <c r="H66" s="152"/>
      <c r="I66" s="154"/>
      <c r="J66" s="154"/>
      <c r="K66" s="154"/>
      <c r="L66" s="154"/>
      <c r="M66" s="154"/>
      <c r="N66" s="154"/>
      <c r="O66" s="154"/>
      <c r="P66" s="154"/>
      <c r="Q66" s="154"/>
      <c r="R66" s="154"/>
      <c r="S66" s="154"/>
      <c r="T66" s="154"/>
      <c r="U66" s="154"/>
      <c r="V66" s="154"/>
      <c r="W66" s="154"/>
      <c r="X66" s="154"/>
      <c r="Y66" s="154"/>
      <c r="Z66" s="154"/>
    </row>
    <row r="67" ht="15.75" customHeight="1">
      <c r="A67" s="182" t="s">
        <v>359</v>
      </c>
      <c r="B67" s="171"/>
      <c r="C67" s="171"/>
      <c r="D67" s="171"/>
      <c r="E67" s="171"/>
      <c r="F67" s="171"/>
      <c r="G67" s="171"/>
      <c r="H67" s="171"/>
      <c r="I67" s="171"/>
      <c r="J67" s="171"/>
      <c r="K67" s="154"/>
      <c r="L67" s="154"/>
      <c r="M67" s="154"/>
      <c r="N67" s="154"/>
      <c r="O67" s="154"/>
      <c r="P67" s="154"/>
      <c r="Q67" s="154"/>
      <c r="R67" s="154"/>
      <c r="S67" s="154"/>
      <c r="T67" s="154"/>
      <c r="U67" s="154"/>
      <c r="V67" s="154"/>
      <c r="W67" s="154"/>
      <c r="X67" s="154"/>
      <c r="Y67" s="154"/>
      <c r="Z67" s="154"/>
    </row>
    <row r="68" ht="15.75" customHeight="1">
      <c r="A68" s="154"/>
      <c r="B68" s="152" t="s">
        <v>360</v>
      </c>
      <c r="C68" s="154"/>
      <c r="D68" s="154"/>
      <c r="E68" s="154"/>
      <c r="F68" s="154"/>
      <c r="G68" s="166">
        <f>G14</f>
        <v>333.09</v>
      </c>
      <c r="H68" s="152" t="s">
        <v>340</v>
      </c>
      <c r="I68" s="154"/>
      <c r="J68" s="166">
        <f t="shared" ref="J68:J72" si="5">G68*$I$11</f>
        <v>24981.75</v>
      </c>
      <c r="K68" s="154"/>
      <c r="L68" s="154"/>
      <c r="M68" s="154"/>
      <c r="N68" s="154"/>
      <c r="O68" s="154"/>
      <c r="P68" s="154"/>
      <c r="Q68" s="154"/>
      <c r="R68" s="154"/>
      <c r="S68" s="154"/>
      <c r="T68" s="154"/>
      <c r="U68" s="154"/>
      <c r="V68" s="154"/>
      <c r="W68" s="154"/>
      <c r="X68" s="154"/>
      <c r="Y68" s="154"/>
      <c r="Z68" s="154"/>
    </row>
    <row r="69" ht="15.75" customHeight="1">
      <c r="A69" s="154"/>
      <c r="B69" s="152" t="s">
        <v>361</v>
      </c>
      <c r="C69" s="154"/>
      <c r="D69" s="154"/>
      <c r="E69" s="154"/>
      <c r="F69" s="154"/>
      <c r="G69" s="166">
        <f>G19+G31+G43+G57</f>
        <v>274.4961535</v>
      </c>
      <c r="H69" s="152" t="s">
        <v>340</v>
      </c>
      <c r="I69" s="154"/>
      <c r="J69" s="166">
        <f t="shared" si="5"/>
        <v>20587.21151</v>
      </c>
      <c r="K69" s="154"/>
      <c r="L69" s="154"/>
      <c r="M69" s="154"/>
      <c r="N69" s="154"/>
      <c r="O69" s="154"/>
      <c r="P69" s="154"/>
      <c r="Q69" s="154"/>
      <c r="R69" s="154"/>
      <c r="S69" s="154"/>
      <c r="T69" s="154"/>
      <c r="U69" s="154"/>
      <c r="V69" s="154"/>
      <c r="W69" s="154"/>
      <c r="X69" s="154"/>
      <c r="Y69" s="154"/>
      <c r="Z69" s="154"/>
    </row>
    <row r="70" ht="15.75" customHeight="1">
      <c r="A70" s="154"/>
      <c r="B70" s="152" t="s">
        <v>362</v>
      </c>
      <c r="C70" s="154"/>
      <c r="D70" s="154"/>
      <c r="E70" s="154"/>
      <c r="F70" s="154"/>
      <c r="G70" s="206">
        <f>G68-G69</f>
        <v>58.59384652</v>
      </c>
      <c r="H70" s="152" t="s">
        <v>340</v>
      </c>
      <c r="I70" s="154"/>
      <c r="J70" s="206">
        <f t="shared" si="5"/>
        <v>4394.538489</v>
      </c>
      <c r="K70" s="154"/>
      <c r="L70" s="154"/>
      <c r="M70" s="154"/>
      <c r="N70" s="154"/>
      <c r="O70" s="154"/>
      <c r="P70" s="154"/>
      <c r="Q70" s="154"/>
      <c r="R70" s="154"/>
      <c r="S70" s="154"/>
      <c r="T70" s="154"/>
      <c r="U70" s="154"/>
      <c r="V70" s="154"/>
      <c r="W70" s="154"/>
      <c r="X70" s="154"/>
      <c r="Y70" s="154"/>
      <c r="Z70" s="154"/>
    </row>
    <row r="71" ht="15.75" customHeight="1">
      <c r="A71" s="154"/>
      <c r="B71" s="152" t="s">
        <v>363</v>
      </c>
      <c r="C71" s="154"/>
      <c r="D71" s="154"/>
      <c r="E71" s="154"/>
      <c r="F71" s="154"/>
      <c r="G71" s="166">
        <f>G61</f>
        <v>30.75</v>
      </c>
      <c r="H71" s="152" t="s">
        <v>340</v>
      </c>
      <c r="I71" s="154"/>
      <c r="J71" s="166">
        <f t="shared" si="5"/>
        <v>2306.25</v>
      </c>
      <c r="K71" s="154"/>
      <c r="L71" s="154"/>
      <c r="M71" s="154"/>
      <c r="N71" s="154"/>
      <c r="O71" s="154"/>
      <c r="P71" s="154"/>
      <c r="Q71" s="154"/>
      <c r="R71" s="154"/>
      <c r="S71" s="154"/>
      <c r="T71" s="154"/>
      <c r="U71" s="154"/>
      <c r="V71" s="154"/>
      <c r="W71" s="154"/>
      <c r="X71" s="154"/>
      <c r="Y71" s="154"/>
      <c r="Z71" s="154"/>
    </row>
    <row r="72" ht="15.75" customHeight="1">
      <c r="A72" s="154"/>
      <c r="B72" s="152" t="s">
        <v>364</v>
      </c>
      <c r="C72" s="154"/>
      <c r="D72" s="154"/>
      <c r="E72" s="154"/>
      <c r="F72" s="154"/>
      <c r="G72" s="206">
        <f>G70-G71</f>
        <v>27.84384652</v>
      </c>
      <c r="H72" s="152" t="s">
        <v>340</v>
      </c>
      <c r="I72" s="154"/>
      <c r="J72" s="206">
        <f t="shared" si="5"/>
        <v>2088.288489</v>
      </c>
      <c r="K72" s="154"/>
      <c r="L72" s="154"/>
      <c r="M72" s="154"/>
      <c r="N72" s="154"/>
      <c r="O72" s="154"/>
      <c r="P72" s="154"/>
      <c r="Q72" s="154"/>
      <c r="R72" s="154"/>
      <c r="S72" s="154"/>
      <c r="T72" s="154"/>
      <c r="U72" s="154"/>
      <c r="V72" s="154"/>
      <c r="W72" s="154"/>
      <c r="X72" s="154"/>
      <c r="Y72" s="154"/>
      <c r="Z72" s="154"/>
    </row>
    <row r="73" ht="15.75" customHeight="1">
      <c r="A73" s="154"/>
      <c r="B73" s="152"/>
      <c r="C73" s="154"/>
      <c r="D73" s="154"/>
      <c r="E73" s="154"/>
      <c r="F73" s="154"/>
      <c r="G73" s="168"/>
      <c r="H73" s="152"/>
      <c r="I73" s="154"/>
      <c r="J73" s="168"/>
      <c r="K73" s="154"/>
      <c r="L73" s="154"/>
      <c r="M73" s="154"/>
      <c r="N73" s="154"/>
      <c r="O73" s="154"/>
      <c r="P73" s="154"/>
      <c r="Q73" s="154"/>
      <c r="R73" s="154"/>
      <c r="S73" s="154"/>
      <c r="T73" s="154"/>
      <c r="U73" s="154"/>
      <c r="V73" s="154"/>
      <c r="W73" s="154"/>
      <c r="X73" s="154"/>
      <c r="Y73" s="154"/>
      <c r="Z73" s="154"/>
    </row>
    <row r="74" ht="15.75" customHeight="1">
      <c r="A74" s="182" t="s">
        <v>365</v>
      </c>
      <c r="B74" s="171"/>
      <c r="C74" s="171"/>
      <c r="D74" s="171"/>
      <c r="E74" s="171"/>
      <c r="F74" s="171"/>
      <c r="G74" s="171"/>
      <c r="H74" s="171"/>
      <c r="I74" s="171"/>
      <c r="J74" s="171"/>
      <c r="K74" s="154"/>
      <c r="L74" s="154"/>
      <c r="M74" s="154"/>
      <c r="N74" s="154"/>
      <c r="O74" s="154"/>
      <c r="P74" s="154"/>
      <c r="Q74" s="154"/>
      <c r="R74" s="154"/>
      <c r="S74" s="154"/>
      <c r="T74" s="154"/>
      <c r="U74" s="154"/>
      <c r="V74" s="154"/>
      <c r="W74" s="154"/>
      <c r="X74" s="154"/>
      <c r="Y74" s="154"/>
      <c r="Z74" s="154"/>
    </row>
    <row r="75" ht="15.75" customHeight="1">
      <c r="A75" s="154"/>
      <c r="B75" s="152" t="s">
        <v>366</v>
      </c>
      <c r="C75" s="154"/>
      <c r="D75" s="154"/>
      <c r="E75" s="154"/>
      <c r="F75" s="154"/>
      <c r="G75" s="166">
        <f>(G69+G71)/C11</f>
        <v>2.034974357</v>
      </c>
      <c r="H75" s="152" t="s">
        <v>296</v>
      </c>
      <c r="I75" s="154"/>
      <c r="J75" s="154"/>
      <c r="K75" s="154"/>
      <c r="L75" s="154"/>
      <c r="M75" s="154"/>
      <c r="N75" s="154"/>
      <c r="O75" s="154"/>
      <c r="P75" s="154"/>
      <c r="Q75" s="154"/>
      <c r="R75" s="154"/>
      <c r="S75" s="154"/>
      <c r="T75" s="154"/>
      <c r="U75" s="154"/>
      <c r="V75" s="154"/>
      <c r="W75" s="154"/>
      <c r="X75" s="154"/>
      <c r="Y75" s="154"/>
      <c r="Z75" s="154"/>
    </row>
    <row r="76" ht="15.75" customHeight="1">
      <c r="A76" s="154"/>
      <c r="B76" s="152" t="s">
        <v>367</v>
      </c>
      <c r="C76" s="154"/>
      <c r="D76" s="154"/>
      <c r="E76" s="154"/>
      <c r="F76" s="154"/>
      <c r="G76" s="166">
        <f>(G69+G71-G54)/C11</f>
        <v>2.011641023</v>
      </c>
      <c r="H76" s="152" t="s">
        <v>296</v>
      </c>
      <c r="I76" s="154"/>
      <c r="J76" s="154"/>
      <c r="K76" s="154"/>
      <c r="L76" s="154"/>
      <c r="M76" s="154"/>
      <c r="N76" s="154"/>
      <c r="O76" s="154"/>
      <c r="P76" s="154"/>
      <c r="Q76" s="154"/>
      <c r="R76" s="154"/>
      <c r="S76" s="154"/>
      <c r="T76" s="154"/>
      <c r="U76" s="154"/>
      <c r="V76" s="154"/>
      <c r="W76" s="154"/>
      <c r="X76" s="154"/>
      <c r="Y76" s="154"/>
      <c r="Z76" s="154"/>
    </row>
    <row r="77" ht="15.75" customHeight="1">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ht="15.75" customHeight="1">
      <c r="A78" s="154"/>
      <c r="B78" s="152" t="s">
        <v>368</v>
      </c>
      <c r="C78" s="154"/>
      <c r="D78" s="154"/>
      <c r="E78" s="154"/>
      <c r="F78" s="154"/>
      <c r="G78" s="166">
        <f>(G68-G31-G43-G57-G61)/C19</f>
        <v>3.55687693</v>
      </c>
      <c r="H78" s="152" t="s">
        <v>296</v>
      </c>
      <c r="I78" s="154"/>
      <c r="J78" s="154"/>
      <c r="K78" s="154"/>
      <c r="L78" s="154"/>
      <c r="M78" s="154"/>
      <c r="N78" s="154"/>
      <c r="O78" s="154"/>
      <c r="P78" s="154"/>
      <c r="Q78" s="154"/>
      <c r="R78" s="154"/>
      <c r="S78" s="154"/>
      <c r="T78" s="154"/>
      <c r="U78" s="154"/>
      <c r="V78" s="154"/>
      <c r="W78" s="154"/>
      <c r="X78" s="154"/>
      <c r="Y78" s="154"/>
      <c r="Z78" s="154"/>
    </row>
    <row r="79" ht="15.75" customHeight="1">
      <c r="A79" s="154"/>
      <c r="B79" s="154"/>
      <c r="C79" s="154"/>
      <c r="D79" s="154"/>
      <c r="E79" s="154"/>
      <c r="F79" s="154"/>
      <c r="G79" s="154"/>
      <c r="H79" s="154"/>
      <c r="I79" s="154"/>
      <c r="J79" s="154"/>
      <c r="K79" s="158" t="s">
        <v>264</v>
      </c>
      <c r="L79" s="207"/>
      <c r="M79" s="207"/>
      <c r="N79" s="207"/>
      <c r="O79" s="207"/>
      <c r="P79" s="207"/>
      <c r="Q79" s="207"/>
      <c r="R79" s="207"/>
      <c r="S79" s="207"/>
      <c r="T79" s="154"/>
      <c r="U79" s="154"/>
      <c r="V79" s="154"/>
      <c r="W79" s="154"/>
      <c r="X79" s="154"/>
      <c r="Y79" s="154"/>
      <c r="Z79" s="154"/>
    </row>
    <row r="80" ht="15.75" customHeight="1">
      <c r="A80" s="154"/>
      <c r="B80" s="154"/>
      <c r="C80" s="154"/>
      <c r="D80" s="154"/>
      <c r="E80" s="154"/>
      <c r="F80" s="154"/>
      <c r="G80" s="154"/>
      <c r="H80" s="154"/>
      <c r="I80" s="154"/>
      <c r="J80" s="154"/>
      <c r="K80" s="152" t="s">
        <v>265</v>
      </c>
      <c r="L80" s="152"/>
      <c r="M80" s="152"/>
      <c r="N80" s="152"/>
      <c r="O80" s="152"/>
      <c r="P80" s="152"/>
      <c r="Q80" s="152"/>
      <c r="R80" s="152"/>
      <c r="S80" s="152"/>
      <c r="T80" s="154"/>
      <c r="U80" s="154"/>
      <c r="V80" s="154"/>
      <c r="W80" s="154"/>
      <c r="X80" s="154"/>
      <c r="Y80" s="154"/>
      <c r="Z80" s="154"/>
    </row>
    <row r="81" ht="15.75" customHeight="1">
      <c r="A81" s="154"/>
      <c r="B81" s="154"/>
      <c r="C81" s="154"/>
      <c r="D81" s="154"/>
      <c r="E81" s="154"/>
      <c r="F81" s="154"/>
      <c r="G81" s="154"/>
      <c r="H81" s="154"/>
      <c r="I81" s="154"/>
      <c r="J81" s="154"/>
      <c r="K81" s="154"/>
      <c r="L81" s="152" t="s">
        <v>369</v>
      </c>
      <c r="M81" s="208">
        <v>-0.15</v>
      </c>
      <c r="N81" s="208">
        <v>-0.1</v>
      </c>
      <c r="O81" s="208">
        <v>-0.05</v>
      </c>
      <c r="P81" s="209"/>
      <c r="Q81" s="208">
        <v>0.05</v>
      </c>
      <c r="R81" s="208">
        <v>0.1</v>
      </c>
      <c r="S81" s="208">
        <v>0.15</v>
      </c>
      <c r="T81" s="154"/>
      <c r="U81" s="154"/>
      <c r="V81" s="154"/>
      <c r="W81" s="154"/>
      <c r="X81" s="154"/>
      <c r="Y81" s="154"/>
      <c r="Z81" s="154"/>
    </row>
    <row r="82" ht="15.75" customHeight="1">
      <c r="A82" s="154"/>
      <c r="B82" s="154"/>
      <c r="C82" s="154"/>
      <c r="D82" s="154"/>
      <c r="E82" s="154"/>
      <c r="F82" s="154"/>
      <c r="G82" s="154"/>
      <c r="H82" s="154"/>
      <c r="I82" s="154"/>
      <c r="J82" s="154"/>
      <c r="K82" s="154"/>
      <c r="L82" s="210" t="s">
        <v>370</v>
      </c>
      <c r="M82" s="211">
        <f>P82*(1+M81)</f>
        <v>1.729728203</v>
      </c>
      <c r="N82" s="211">
        <f>P82*(1+N81)</f>
        <v>1.831476921</v>
      </c>
      <c r="O82" s="211">
        <f>P82*(1+O81)</f>
        <v>1.933225639</v>
      </c>
      <c r="P82" s="212">
        <f>G75</f>
        <v>2.034974357</v>
      </c>
      <c r="Q82" s="211">
        <f>P82*(1+Q81)</f>
        <v>2.136723074</v>
      </c>
      <c r="R82" s="211">
        <f>P82*(1+R81)</f>
        <v>2.238471792</v>
      </c>
      <c r="S82" s="211">
        <f>P82*(1+S81)</f>
        <v>2.34022051</v>
      </c>
      <c r="T82" s="154"/>
      <c r="U82" s="154"/>
      <c r="V82" s="154"/>
      <c r="W82" s="154"/>
      <c r="X82" s="154"/>
      <c r="Y82" s="154"/>
      <c r="Z82" s="154"/>
    </row>
    <row r="83" ht="15.75" customHeight="1">
      <c r="A83" s="154"/>
      <c r="B83" s="154"/>
      <c r="C83" s="154"/>
      <c r="D83" s="154"/>
      <c r="E83" s="154"/>
      <c r="F83" s="154"/>
      <c r="G83" s="154"/>
      <c r="H83" s="154"/>
      <c r="I83" s="154"/>
      <c r="J83" s="154"/>
      <c r="K83" s="213">
        <v>-0.15</v>
      </c>
      <c r="L83" s="211">
        <f>L86*(1+K83)</f>
        <v>0.474465325</v>
      </c>
      <c r="M83" s="214">
        <f t="shared" ref="M83:M89" si="6">$M$82-L83-(($G$19+$G$43+$G$57+$G$61)/$C$11)</f>
        <v>-0.2215169785</v>
      </c>
      <c r="N83" s="214">
        <f t="shared" ref="N83:N89" si="7">$N$82-L83-(($G$19+$G$43+$G$57+$G$61)/$C$11)</f>
        <v>-0.1197682607</v>
      </c>
      <c r="O83" s="214">
        <f t="shared" ref="O83:O89" si="8">$O$82-L83-(($G$19+$G$43+$G$57+$G$61)/$C$11)</f>
        <v>-0.01801954283</v>
      </c>
      <c r="P83" s="214">
        <f t="shared" ref="P83:P89" si="9">$P$82-L83-(($G$19+$G$43+$G$57+$G$61)/$C$11)</f>
        <v>0.083729175</v>
      </c>
      <c r="Q83" s="214">
        <f t="shared" ref="Q83:Q89" si="10">$Q$82-L83-(($G$19+$G$43+$G$57+$G$61)/$C$11)</f>
        <v>0.1854778928</v>
      </c>
      <c r="R83" s="214">
        <f t="shared" ref="R83:R89" si="11">$R$82-L83-(($G$19+$G$43+$G$57+$G$61)/$C$11)</f>
        <v>0.2872266107</v>
      </c>
      <c r="S83" s="214">
        <f t="shared" ref="S83:S89" si="12">$S$82-L83-(($G$19+$G$43+$G$57+$G$61)/$C$11)</f>
        <v>0.3889753285</v>
      </c>
      <c r="T83" s="154"/>
      <c r="U83" s="154"/>
      <c r="V83" s="154"/>
      <c r="W83" s="154"/>
      <c r="X83" s="154"/>
      <c r="Y83" s="154"/>
      <c r="Z83" s="154"/>
    </row>
    <row r="84" ht="15.75" customHeight="1">
      <c r="A84" s="153"/>
      <c r="B84" s="153"/>
      <c r="C84" s="153"/>
      <c r="D84" s="153"/>
      <c r="E84" s="153"/>
      <c r="F84" s="153"/>
      <c r="G84" s="153"/>
      <c r="H84" s="153"/>
      <c r="I84" s="153"/>
      <c r="J84" s="153"/>
      <c r="K84" s="213">
        <v>-0.1</v>
      </c>
      <c r="L84" s="211">
        <f>L86*(1+K84)</f>
        <v>0.50237505</v>
      </c>
      <c r="M84" s="214">
        <f t="shared" si="6"/>
        <v>-0.2494267035</v>
      </c>
      <c r="N84" s="214">
        <f t="shared" si="7"/>
        <v>-0.1476779857</v>
      </c>
      <c r="O84" s="214">
        <f t="shared" si="8"/>
        <v>-0.04592926783</v>
      </c>
      <c r="P84" s="214">
        <f t="shared" si="9"/>
        <v>0.05581945</v>
      </c>
      <c r="Q84" s="214">
        <f t="shared" si="10"/>
        <v>0.1575681678</v>
      </c>
      <c r="R84" s="214">
        <f t="shared" si="11"/>
        <v>0.2593168857</v>
      </c>
      <c r="S84" s="214">
        <f t="shared" si="12"/>
        <v>0.3610656035</v>
      </c>
      <c r="T84" s="153"/>
      <c r="U84" s="153"/>
      <c r="V84" s="153"/>
      <c r="W84" s="153"/>
      <c r="X84" s="153"/>
      <c r="Y84" s="153"/>
      <c r="Z84" s="153"/>
    </row>
    <row r="85" ht="15.75" customHeight="1">
      <c r="A85" s="153"/>
      <c r="B85" s="153"/>
      <c r="C85" s="153"/>
      <c r="D85" s="153"/>
      <c r="E85" s="153"/>
      <c r="F85" s="153"/>
      <c r="G85" s="153"/>
      <c r="H85" s="153"/>
      <c r="I85" s="153"/>
      <c r="J85" s="153"/>
      <c r="K85" s="213">
        <v>-0.05</v>
      </c>
      <c r="L85" s="211">
        <f>L86*(1+K85)</f>
        <v>0.530284775</v>
      </c>
      <c r="M85" s="214">
        <f t="shared" si="6"/>
        <v>-0.2773364285</v>
      </c>
      <c r="N85" s="214">
        <f t="shared" si="7"/>
        <v>-0.1755877107</v>
      </c>
      <c r="O85" s="214">
        <f t="shared" si="8"/>
        <v>-0.07383899283</v>
      </c>
      <c r="P85" s="214">
        <f t="shared" si="9"/>
        <v>0.027909725</v>
      </c>
      <c r="Q85" s="214">
        <f t="shared" si="10"/>
        <v>0.1296584428</v>
      </c>
      <c r="R85" s="214">
        <f t="shared" si="11"/>
        <v>0.2314071607</v>
      </c>
      <c r="S85" s="214">
        <f t="shared" si="12"/>
        <v>0.3331558785</v>
      </c>
      <c r="T85" s="153"/>
      <c r="U85" s="153"/>
      <c r="V85" s="153"/>
      <c r="W85" s="153"/>
      <c r="X85" s="153"/>
      <c r="Y85" s="153"/>
      <c r="Z85" s="153"/>
    </row>
    <row r="86" ht="15.75" customHeight="1">
      <c r="A86" s="153"/>
      <c r="B86" s="153"/>
      <c r="C86" s="153"/>
      <c r="D86" s="153"/>
      <c r="E86" s="153"/>
      <c r="F86" s="153"/>
      <c r="G86" s="153"/>
      <c r="H86" s="153"/>
      <c r="I86" s="153"/>
      <c r="J86" s="153"/>
      <c r="K86" s="215"/>
      <c r="L86" s="212">
        <f>G31/C11</f>
        <v>0.5581945</v>
      </c>
      <c r="M86" s="214">
        <f t="shared" si="6"/>
        <v>-0.3052461535</v>
      </c>
      <c r="N86" s="214">
        <f t="shared" si="7"/>
        <v>-0.2034974357</v>
      </c>
      <c r="O86" s="214">
        <f t="shared" si="8"/>
        <v>-0.1017487178</v>
      </c>
      <c r="P86" s="212">
        <f t="shared" si="9"/>
        <v>0</v>
      </c>
      <c r="Q86" s="214">
        <f t="shared" si="10"/>
        <v>0.1017487178</v>
      </c>
      <c r="R86" s="214">
        <f t="shared" si="11"/>
        <v>0.2034974357</v>
      </c>
      <c r="S86" s="214">
        <f t="shared" si="12"/>
        <v>0.3052461535</v>
      </c>
      <c r="T86" s="153"/>
      <c r="U86" s="153"/>
      <c r="V86" s="153"/>
      <c r="W86" s="153"/>
      <c r="X86" s="153"/>
      <c r="Y86" s="153"/>
      <c r="Z86" s="153"/>
    </row>
    <row r="87" ht="15.75" customHeight="1">
      <c r="A87" s="153"/>
      <c r="B87" s="153"/>
      <c r="C87" s="153"/>
      <c r="D87" s="153"/>
      <c r="E87" s="153"/>
      <c r="F87" s="153"/>
      <c r="G87" s="153"/>
      <c r="H87" s="153"/>
      <c r="I87" s="153"/>
      <c r="J87" s="153"/>
      <c r="K87" s="213">
        <v>0.05</v>
      </c>
      <c r="L87" s="211">
        <f>L86*(1+K87)</f>
        <v>0.586104225</v>
      </c>
      <c r="M87" s="214">
        <f t="shared" si="6"/>
        <v>-0.3331558785</v>
      </c>
      <c r="N87" s="214">
        <f t="shared" si="7"/>
        <v>-0.2314071607</v>
      </c>
      <c r="O87" s="214">
        <f t="shared" si="8"/>
        <v>-0.1296584428</v>
      </c>
      <c r="P87" s="214">
        <f t="shared" si="9"/>
        <v>-0.027909725</v>
      </c>
      <c r="Q87" s="214">
        <f t="shared" si="10"/>
        <v>0.07383899283</v>
      </c>
      <c r="R87" s="214">
        <f t="shared" si="11"/>
        <v>0.1755877107</v>
      </c>
      <c r="S87" s="214">
        <f t="shared" si="12"/>
        <v>0.2773364285</v>
      </c>
      <c r="T87" s="153"/>
      <c r="U87" s="153"/>
      <c r="V87" s="153"/>
      <c r="W87" s="153"/>
      <c r="X87" s="153"/>
      <c r="Y87" s="153"/>
      <c r="Z87" s="153"/>
    </row>
    <row r="88" ht="15.75" customHeight="1">
      <c r="A88" s="153"/>
      <c r="B88" s="153"/>
      <c r="C88" s="153"/>
      <c r="D88" s="153"/>
      <c r="E88" s="153"/>
      <c r="F88" s="153"/>
      <c r="G88" s="153"/>
      <c r="H88" s="153"/>
      <c r="I88" s="153"/>
      <c r="J88" s="153"/>
      <c r="K88" s="213">
        <v>0.1</v>
      </c>
      <c r="L88" s="211">
        <f>L86*(1+K88)</f>
        <v>0.61401395</v>
      </c>
      <c r="M88" s="214">
        <f t="shared" si="6"/>
        <v>-0.3610656035</v>
      </c>
      <c r="N88" s="214">
        <f t="shared" si="7"/>
        <v>-0.2593168857</v>
      </c>
      <c r="O88" s="214">
        <f t="shared" si="8"/>
        <v>-0.1575681678</v>
      </c>
      <c r="P88" s="214">
        <f t="shared" si="9"/>
        <v>-0.05581945</v>
      </c>
      <c r="Q88" s="214">
        <f t="shared" si="10"/>
        <v>0.04592926783</v>
      </c>
      <c r="R88" s="214">
        <f t="shared" si="11"/>
        <v>0.1476779857</v>
      </c>
      <c r="S88" s="214">
        <f t="shared" si="12"/>
        <v>0.2494267035</v>
      </c>
      <c r="T88" s="153"/>
      <c r="U88" s="153"/>
      <c r="V88" s="153"/>
      <c r="W88" s="153"/>
      <c r="X88" s="153"/>
      <c r="Y88" s="153"/>
      <c r="Z88" s="153"/>
    </row>
    <row r="89" ht="15.75" customHeight="1">
      <c r="A89" s="153"/>
      <c r="B89" s="153"/>
      <c r="C89" s="153"/>
      <c r="D89" s="153"/>
      <c r="E89" s="153"/>
      <c r="F89" s="153"/>
      <c r="G89" s="153"/>
      <c r="H89" s="153"/>
      <c r="I89" s="153"/>
      <c r="J89" s="153"/>
      <c r="K89" s="213">
        <v>0.15</v>
      </c>
      <c r="L89" s="211">
        <f>L86*(1+K89)</f>
        <v>0.641923675</v>
      </c>
      <c r="M89" s="214">
        <f t="shared" si="6"/>
        <v>-0.3889753285</v>
      </c>
      <c r="N89" s="214">
        <f t="shared" si="7"/>
        <v>-0.2872266107</v>
      </c>
      <c r="O89" s="214">
        <f t="shared" si="8"/>
        <v>-0.1854778928</v>
      </c>
      <c r="P89" s="214">
        <f t="shared" si="9"/>
        <v>-0.083729175</v>
      </c>
      <c r="Q89" s="214">
        <f t="shared" si="10"/>
        <v>0.01801954283</v>
      </c>
      <c r="R89" s="214">
        <f t="shared" si="11"/>
        <v>0.1197682607</v>
      </c>
      <c r="S89" s="214">
        <f t="shared" si="12"/>
        <v>0.2215169785</v>
      </c>
      <c r="T89" s="153"/>
      <c r="U89" s="153"/>
      <c r="V89" s="153"/>
      <c r="W89" s="153"/>
      <c r="X89" s="153"/>
      <c r="Y89" s="153"/>
      <c r="Z89" s="153"/>
    </row>
    <row r="90" ht="15.75" customHeight="1">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ht="15.75" customHeight="1">
      <c r="A91" s="149"/>
      <c r="B91" s="149" t="s">
        <v>277</v>
      </c>
      <c r="C91" s="16" t="s">
        <v>371</v>
      </c>
      <c r="D91" s="149"/>
      <c r="E91" s="149"/>
      <c r="F91" s="149"/>
      <c r="G91" s="149"/>
      <c r="H91" s="149"/>
      <c r="I91" s="149"/>
      <c r="J91" s="149"/>
      <c r="K91" s="149"/>
      <c r="L91" s="149"/>
      <c r="M91" s="149"/>
      <c r="N91" s="149"/>
      <c r="O91" s="149"/>
      <c r="P91" s="149"/>
      <c r="Q91" s="149"/>
      <c r="R91" s="149"/>
      <c r="S91" s="149"/>
      <c r="T91" s="149"/>
      <c r="U91" s="149"/>
      <c r="V91" s="149"/>
      <c r="W91" s="149"/>
      <c r="X91" s="149"/>
      <c r="Y91" s="149"/>
      <c r="Z91" s="149"/>
    </row>
    <row r="92" ht="15.75" customHeight="1">
      <c r="A92" s="149"/>
      <c r="B92" s="149"/>
      <c r="C92" s="150" t="s">
        <v>279</v>
      </c>
      <c r="D92" s="149"/>
      <c r="E92" s="149"/>
      <c r="F92" s="149"/>
      <c r="G92" s="149"/>
      <c r="H92" s="149"/>
      <c r="I92" s="149"/>
      <c r="J92" s="149"/>
      <c r="K92" s="149"/>
      <c r="L92" s="149"/>
      <c r="M92" s="149"/>
      <c r="N92" s="149"/>
      <c r="O92" s="149"/>
      <c r="P92" s="149"/>
      <c r="Q92" s="149"/>
      <c r="R92" s="149"/>
      <c r="S92" s="149"/>
      <c r="T92" s="149"/>
      <c r="U92" s="149"/>
      <c r="V92" s="149"/>
      <c r="W92" s="149"/>
      <c r="X92" s="149"/>
      <c r="Y92" s="149"/>
      <c r="Z92" s="149"/>
    </row>
    <row r="93" ht="15.75" customHeight="1">
      <c r="A93" s="149"/>
      <c r="B93" s="149" t="s">
        <v>280</v>
      </c>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row>
    <row r="94" ht="15.75" customHeight="1">
      <c r="A94" s="145"/>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ht="15.75" customHeight="1">
      <c r="A95" s="153"/>
      <c r="B95" s="12" t="s">
        <v>372</v>
      </c>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ht="15.75" customHeight="1">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ht="15.75" customHeight="1">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ht="15.75" customHeight="1">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ht="15.75" customHeight="1">
      <c r="A99" s="153"/>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ht="15.75" customHeight="1">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ht="15.75" customHeight="1">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ht="15.75" customHeight="1">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ht="15.75" customHeight="1">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ht="15.75" customHeight="1">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ht="15.75" customHeight="1">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ht="15.75" customHeight="1">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ht="15.75" customHeight="1">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ht="15.75" customHeight="1">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ht="15.75" customHeight="1">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ht="15.75" customHeight="1">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ht="15.75" customHeight="1">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ht="15.75" customHeight="1">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ht="15.75" customHeight="1">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ht="15.75" customHeight="1">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ht="15.75" customHeight="1">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ht="15.75" customHeight="1">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ht="15.75" customHeight="1">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ht="15.75" customHeight="1">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ht="15.75" customHeight="1">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ht="15.75" customHeight="1">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ht="15.75" customHeight="1">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ht="15.75" customHeight="1">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ht="15.75" customHeight="1">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ht="15.75" customHeight="1">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ht="15.75" customHeight="1">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ht="15.75" customHeight="1">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ht="15.75" customHeight="1">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ht="15.75" customHeight="1">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ht="15.75" customHeight="1">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ht="15.75" customHeight="1">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ht="15.75" customHeight="1">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ht="15.75" customHeight="1">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ht="15.75" customHeight="1">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ht="15.75" customHeight="1">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ht="15.75" customHeight="1">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ht="15.75" customHeight="1">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ht="15.75" customHeight="1">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ht="15.75" customHeight="1">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ht="15.75" customHeight="1">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ht="15.75" customHeight="1">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ht="15.75" customHeight="1">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ht="15.75" customHeight="1">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ht="15.75" customHeight="1">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ht="15.75" customHeight="1">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ht="15.75" customHeight="1">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ht="15.75" customHeight="1">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ht="15.75" customHeight="1">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ht="15.75" customHeight="1">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ht="15.75" customHeight="1">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ht="15.75" customHeight="1">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ht="15.75" customHeight="1">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ht="15.75" customHeight="1">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ht="15.75" customHeight="1">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ht="15.75" customHeight="1">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ht="15.75" customHeight="1">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ht="15.75" customHeight="1">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ht="15.75" customHeight="1">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ht="15.75" customHeight="1">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ht="15.75" customHeight="1">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ht="15.75" customHeight="1">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ht="15.75" customHeight="1">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ht="15.75" customHeight="1">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ht="15.75" customHeight="1">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ht="15.75" customHeight="1">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ht="15.75" customHeight="1">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ht="15.75" customHeight="1">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ht="15.75" customHeight="1">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ht="15.75" customHeight="1">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ht="15.75" customHeight="1">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ht="15.75" customHeight="1">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ht="15.75" customHeight="1">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ht="15.75" customHeight="1">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ht="15.75" customHeight="1">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ht="15.75" customHeight="1">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ht="15.75" customHeight="1">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ht="15.75" customHeight="1">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ht="15.75" customHeight="1">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ht="15.75" customHeight="1">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ht="15.75" customHeight="1">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ht="15.75" customHeight="1">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ht="15.75" customHeight="1">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ht="15.75" customHeight="1">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ht="15.75" customHeight="1">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ht="15.75" customHeight="1">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ht="15.75" customHeight="1">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ht="15.75" customHeight="1">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ht="15.75" customHeight="1">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ht="15.75" customHeight="1">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ht="15.75" customHeight="1">
      <c r="A189" s="153"/>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ht="15.75" customHeight="1">
      <c r="A190" s="153"/>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ht="15.75" customHeight="1">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ht="15.75" customHeight="1">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ht="15.75" customHeight="1">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ht="15.75" customHeight="1">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ht="15.75" customHeight="1">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ht="15.75" customHeight="1">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ht="15.75" customHeight="1">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ht="15.75" customHeight="1">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ht="15.75" customHeight="1">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ht="15.75" customHeight="1">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ht="15.75" customHeight="1">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ht="15.75" customHeight="1">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ht="15.75" customHeight="1">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ht="15.75" customHeight="1">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ht="15.75" customHeight="1">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ht="15.75" customHeight="1">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ht="15.75" customHeight="1">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ht="15.75" customHeight="1">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ht="15.75" customHeight="1">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ht="15.75" customHeight="1">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ht="15.75" customHeight="1">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ht="15.75" customHeight="1">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ht="15.75" customHeight="1">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ht="15.75" customHeight="1">
      <c r="A214" s="153"/>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ht="15.75" customHeight="1">
      <c r="A215" s="153"/>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ht="15.75" customHeight="1">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ht="15.75" customHeight="1">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ht="15.75" customHeight="1">
      <c r="A218" s="153"/>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ht="15.75" customHeight="1">
      <c r="A219" s="153"/>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ht="15.75" customHeight="1">
      <c r="A220" s="153"/>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ht="15.75" customHeight="1">
      <c r="A221" s="153"/>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ht="15.75" customHeight="1">
      <c r="A222" s="153"/>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ht="15.75" customHeight="1">
      <c r="A223" s="153"/>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ht="15.75" customHeight="1">
      <c r="A224" s="153"/>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ht="15.75" customHeight="1">
      <c r="A225" s="153"/>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ht="15.75" customHeight="1">
      <c r="A226" s="153"/>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ht="15.75" customHeight="1">
      <c r="A227" s="153"/>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ht="15.75" customHeight="1">
      <c r="A228" s="153"/>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ht="15.75" customHeight="1">
      <c r="A229" s="153"/>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ht="15.75" customHeight="1">
      <c r="A230" s="153"/>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ht="15.75" customHeight="1">
      <c r="A231" s="153"/>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ht="15.75" customHeight="1">
      <c r="A232" s="153"/>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ht="15.75" customHeight="1">
      <c r="A233" s="153"/>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ht="15.75" customHeight="1">
      <c r="A234" s="153"/>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ht="15.75" customHeight="1">
      <c r="A235" s="153"/>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ht="15.75" customHeight="1">
      <c r="A236" s="153"/>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ht="15.75" customHeight="1">
      <c r="A237" s="153"/>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ht="15.75" customHeight="1">
      <c r="A238" s="153"/>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ht="15.75" customHeight="1">
      <c r="A239" s="153"/>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ht="15.75" customHeight="1">
      <c r="A240" s="153"/>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ht="15.75" customHeight="1">
      <c r="A241" s="153"/>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ht="15.75" customHeight="1">
      <c r="A242" s="153"/>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ht="15.75" customHeight="1">
      <c r="A243" s="153"/>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ht="15.75" customHeight="1">
      <c r="A244" s="153"/>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ht="15.75" customHeight="1">
      <c r="A245" s="153"/>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ht="15.75" customHeight="1">
      <c r="A246" s="153"/>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ht="15.75" customHeight="1">
      <c r="A247" s="153"/>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ht="15.75" customHeight="1">
      <c r="A248" s="153"/>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ht="15.75" customHeight="1">
      <c r="A249" s="153"/>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ht="15.75" customHeight="1">
      <c r="A250" s="153"/>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ht="15.75" customHeight="1">
      <c r="A251" s="153"/>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ht="15.75" customHeight="1">
      <c r="A252" s="153"/>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ht="15.75" customHeight="1">
      <c r="A253" s="153"/>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ht="15.75" customHeight="1">
      <c r="A254" s="153"/>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ht="15.75" customHeight="1">
      <c r="A255" s="153"/>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ht="15.75" customHeight="1">
      <c r="A256" s="153"/>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ht="15.75" customHeight="1">
      <c r="A257" s="153"/>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ht="15.75" customHeight="1">
      <c r="A258" s="153"/>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ht="15.75" customHeight="1">
      <c r="A259" s="153"/>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ht="15.75" customHeight="1">
      <c r="A260" s="153"/>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ht="15.75" customHeight="1">
      <c r="A261" s="153"/>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ht="15.75" customHeight="1">
      <c r="A262" s="153"/>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ht="15.75" customHeight="1">
      <c r="A263" s="153"/>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ht="15.75" customHeight="1">
      <c r="A264" s="153"/>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ht="15.75" customHeight="1">
      <c r="A265" s="153"/>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ht="15.75" customHeight="1">
      <c r="A266" s="153"/>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ht="15.75" customHeight="1">
      <c r="A267" s="153"/>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ht="15.75" customHeight="1">
      <c r="A268" s="153"/>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ht="15.75" customHeight="1">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ht="15.75" customHeight="1">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ht="15.75" customHeight="1">
      <c r="A271" s="153"/>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ht="15.75" customHeight="1">
      <c r="A272" s="153"/>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ht="15.75" customHeight="1">
      <c r="A273" s="153"/>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ht="15.75" customHeight="1">
      <c r="A274" s="153"/>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ht="15.75" customHeight="1">
      <c r="A275" s="153"/>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ht="15.75" customHeight="1">
      <c r="A276" s="153"/>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ht="15.75" customHeight="1">
      <c r="A277" s="153"/>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ht="15.75" customHeight="1">
      <c r="A278" s="153"/>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ht="15.75" customHeight="1">
      <c r="A279" s="153"/>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ht="15.75" customHeight="1">
      <c r="A280" s="153"/>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ht="15.75" customHeight="1">
      <c r="A281" s="153"/>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ht="15.75" customHeight="1">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ht="15.75" customHeight="1">
      <c r="A283" s="153"/>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ht="15.75" customHeight="1">
      <c r="A284" s="153"/>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ht="15.75" customHeight="1">
      <c r="A285" s="153"/>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ht="15.75" customHeight="1">
      <c r="A286" s="153"/>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ht="15.75" customHeight="1">
      <c r="A287" s="153"/>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ht="15.75" customHeight="1">
      <c r="A288" s="153"/>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ht="15.75" customHeight="1">
      <c r="A289" s="153"/>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ht="15.75" customHeight="1">
      <c r="A290" s="153"/>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ht="15.75" customHeight="1">
      <c r="A291" s="153"/>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ht="15.75" customHeight="1">
      <c r="A292" s="153"/>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ht="15.75" customHeight="1">
      <c r="A293" s="153"/>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ht="15.75" customHeight="1">
      <c r="A294" s="153"/>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ht="15.75" customHeight="1">
      <c r="A295" s="153"/>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ht="15.75" customHeight="1">
      <c r="A296" s="153"/>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ht="15.75" customHeight="1">
      <c r="A297" s="153"/>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ht="15.75" customHeight="1">
      <c r="A298" s="153"/>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ht="15.75" customHeight="1">
      <c r="A299" s="153"/>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ht="15.75" customHeight="1">
      <c r="A300" s="153"/>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ht="15.75" customHeight="1">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ht="15.75" customHeight="1">
      <c r="A302" s="153"/>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ht="15.75" customHeight="1">
      <c r="A303" s="153"/>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ht="15.75" customHeight="1">
      <c r="A304" s="153"/>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ht="15.75" customHeight="1">
      <c r="A305" s="153"/>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ht="15.75" customHeight="1">
      <c r="A306" s="153"/>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ht="15.75" customHeight="1">
      <c r="A307" s="153"/>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ht="15.75" customHeight="1">
      <c r="A308" s="153"/>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ht="15.75" customHeight="1">
      <c r="A309" s="153"/>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ht="15.75" customHeight="1">
      <c r="A310" s="153"/>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ht="15.75" customHeight="1">
      <c r="A311" s="153"/>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ht="15.75" customHeight="1">
      <c r="A312" s="153"/>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ht="15.75" customHeight="1">
      <c r="A313" s="153"/>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ht="15.75" customHeight="1">
      <c r="A314" s="153"/>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ht="15.75" customHeight="1">
      <c r="A315" s="153"/>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ht="15.75" customHeight="1">
      <c r="A316" s="153"/>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ht="15.75" customHeight="1">
      <c r="A317" s="153"/>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ht="15.75" customHeight="1">
      <c r="A318" s="153"/>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ht="15.75" customHeight="1">
      <c r="A319" s="153"/>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ht="15.75" customHeight="1">
      <c r="A320" s="153"/>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ht="15.75" customHeight="1">
      <c r="A321" s="153"/>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ht="15.75" customHeight="1">
      <c r="A322" s="153"/>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ht="15.75" customHeight="1">
      <c r="A323" s="153"/>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ht="15.75" customHeight="1">
      <c r="A324" s="153"/>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ht="15.75" customHeight="1">
      <c r="A325" s="153"/>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ht="15.75" customHeight="1">
      <c r="A326" s="153"/>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ht="15.75" customHeight="1">
      <c r="A327" s="153"/>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ht="15.75" customHeight="1">
      <c r="A328" s="153"/>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ht="15.75" customHeight="1">
      <c r="A329" s="153"/>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ht="15.75" customHeight="1">
      <c r="A330" s="153"/>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ht="15.75" customHeight="1">
      <c r="A331" s="153"/>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ht="15.75" customHeight="1">
      <c r="A332" s="153"/>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ht="15.75" customHeight="1">
      <c r="A333" s="153"/>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ht="15.75" customHeight="1">
      <c r="A334" s="153"/>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ht="15.75" customHeight="1">
      <c r="A335" s="153"/>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ht="15.75" customHeight="1">
      <c r="A336" s="153"/>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ht="15.75" customHeight="1">
      <c r="A337" s="153"/>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ht="15.75" customHeight="1">
      <c r="A338" s="153"/>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ht="15.75" customHeight="1">
      <c r="A339" s="153"/>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ht="15.75" customHeight="1">
      <c r="A340" s="153"/>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ht="15.75" customHeight="1">
      <c r="A341" s="153"/>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ht="15.75" customHeight="1">
      <c r="A342" s="153"/>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ht="15.75" customHeight="1">
      <c r="A343" s="153"/>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ht="15.75" customHeight="1">
      <c r="A344" s="153"/>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ht="15.75" customHeight="1">
      <c r="A345" s="153"/>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ht="15.75" customHeight="1">
      <c r="A346" s="153"/>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ht="15.75" customHeight="1">
      <c r="A347" s="153"/>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ht="15.75" customHeight="1">
      <c r="A348" s="153"/>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ht="15.75" customHeight="1">
      <c r="A349" s="153"/>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ht="15.75" customHeight="1">
      <c r="A350" s="153"/>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ht="15.75" customHeight="1">
      <c r="A351" s="153"/>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ht="15.75" customHeight="1">
      <c r="A352" s="153"/>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ht="15.75" customHeight="1">
      <c r="A353" s="153"/>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ht="15.75" customHeight="1">
      <c r="A354" s="153"/>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ht="15.75" customHeight="1">
      <c r="A355" s="153"/>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ht="15.75" customHeight="1">
      <c r="A356" s="153"/>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ht="15.75" customHeight="1">
      <c r="A357" s="153"/>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ht="15.75" customHeight="1">
      <c r="A358" s="153"/>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ht="15.75" customHeight="1">
      <c r="A359" s="153"/>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ht="15.75" customHeight="1">
      <c r="A360" s="153"/>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ht="15.75" customHeight="1">
      <c r="A361" s="153"/>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ht="15.75" customHeight="1">
      <c r="A362" s="153"/>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ht="15.75" customHeight="1">
      <c r="A363" s="153"/>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ht="15.75" customHeight="1">
      <c r="A364" s="153"/>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ht="15.75" customHeight="1">
      <c r="A365" s="153"/>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ht="15.75" customHeight="1">
      <c r="A366" s="153"/>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ht="15.75" customHeight="1">
      <c r="A367" s="153"/>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ht="15.75" customHeight="1">
      <c r="A368" s="153"/>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ht="15.75" customHeight="1">
      <c r="A369" s="153"/>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ht="15.75" customHeight="1">
      <c r="A370" s="153"/>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ht="15.75" customHeight="1">
      <c r="A371" s="153"/>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ht="15.75" customHeight="1">
      <c r="A372" s="153"/>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ht="15.75" customHeight="1">
      <c r="A373" s="153"/>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ht="15.75" customHeight="1">
      <c r="A374" s="153"/>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ht="15.75" customHeight="1">
      <c r="A375" s="153"/>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ht="15.75" customHeight="1">
      <c r="A376" s="153"/>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ht="15.75" customHeight="1">
      <c r="A377" s="153"/>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ht="15.75" customHeight="1">
      <c r="A378" s="153"/>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ht="15.75" customHeight="1">
      <c r="A379" s="153"/>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ht="15.75" customHeight="1">
      <c r="A380" s="153"/>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ht="15.75" customHeight="1">
      <c r="A381" s="153"/>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ht="15.75" customHeight="1">
      <c r="A382" s="153"/>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ht="15.75" customHeight="1">
      <c r="A383" s="153"/>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ht="15.75" customHeight="1">
      <c r="A384" s="153"/>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ht="15.75" customHeight="1">
      <c r="A385" s="153"/>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ht="15.75" customHeight="1">
      <c r="A386" s="153"/>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ht="15.75" customHeight="1">
      <c r="A387" s="153"/>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ht="15.75" customHeight="1">
      <c r="A388" s="153"/>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ht="15.75" customHeight="1">
      <c r="A389" s="153"/>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ht="15.75" customHeight="1">
      <c r="A390" s="153"/>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ht="15.75" customHeight="1">
      <c r="A391" s="153"/>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ht="15.75" customHeight="1">
      <c r="A392" s="153"/>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ht="15.75" customHeight="1">
      <c r="A393" s="153"/>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ht="15.75" customHeight="1">
      <c r="A394" s="153"/>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ht="15.75" customHeight="1">
      <c r="A395" s="153"/>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ht="15.75" customHeight="1">
      <c r="A396" s="153"/>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ht="15.75" customHeight="1">
      <c r="A397" s="153"/>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ht="15.75" customHeight="1">
      <c r="A398" s="153"/>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ht="15.75" customHeight="1">
      <c r="A399" s="153"/>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ht="15.75" customHeight="1">
      <c r="A400" s="153"/>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ht="15.75" customHeight="1">
      <c r="A401" s="153"/>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ht="15.75" customHeight="1">
      <c r="A402" s="153"/>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ht="15.75" customHeight="1">
      <c r="A403" s="153"/>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ht="15.75" customHeight="1">
      <c r="A404" s="153"/>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ht="15.75" customHeight="1">
      <c r="A405" s="153"/>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ht="15.75" customHeight="1">
      <c r="A406" s="153"/>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ht="15.75" customHeight="1">
      <c r="A407" s="153"/>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ht="15.75" customHeight="1">
      <c r="A408" s="153"/>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ht="15.75" customHeight="1">
      <c r="A409" s="153"/>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ht="15.75" customHeight="1">
      <c r="A410" s="153"/>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ht="15.75" customHeight="1">
      <c r="A411" s="153"/>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ht="15.75" customHeight="1">
      <c r="A412" s="153"/>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ht="15.75" customHeight="1">
      <c r="A413" s="153"/>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ht="15.75" customHeight="1">
      <c r="A414" s="153"/>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ht="15.75" customHeight="1">
      <c r="A415" s="153"/>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ht="15.75" customHeight="1">
      <c r="A416" s="153"/>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ht="15.75" customHeight="1">
      <c r="A417" s="153"/>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ht="15.75" customHeight="1">
      <c r="A418" s="153"/>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ht="15.75" customHeight="1">
      <c r="A419" s="153"/>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ht="15.75" customHeight="1">
      <c r="A420" s="153"/>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ht="15.75" customHeight="1">
      <c r="A421" s="153"/>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ht="15.75" customHeight="1">
      <c r="A422" s="153"/>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ht="15.75" customHeight="1">
      <c r="A423" s="153"/>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ht="15.75" customHeight="1">
      <c r="A424" s="153"/>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ht="15.75" customHeight="1">
      <c r="A425" s="153"/>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ht="15.75" customHeight="1">
      <c r="A426" s="153"/>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ht="15.75" customHeight="1">
      <c r="A427" s="153"/>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ht="15.75" customHeight="1">
      <c r="A428" s="153"/>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ht="15.75" customHeight="1">
      <c r="A429" s="153"/>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ht="15.75" customHeight="1">
      <c r="A430" s="153"/>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ht="15.75" customHeight="1">
      <c r="A431" s="153"/>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ht="15.75" customHeight="1">
      <c r="A432" s="153"/>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ht="15.75" customHeight="1">
      <c r="A433" s="153"/>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ht="15.75" customHeight="1">
      <c r="A434" s="153"/>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ht="15.75" customHeight="1">
      <c r="A435" s="153"/>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ht="15.75" customHeight="1">
      <c r="A436" s="153"/>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ht="15.75" customHeight="1">
      <c r="A437" s="153"/>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ht="15.75" customHeight="1">
      <c r="A438" s="153"/>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ht="15.75" customHeight="1">
      <c r="A439" s="153"/>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ht="15.75" customHeight="1">
      <c r="A440" s="153"/>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ht="15.75" customHeight="1">
      <c r="A441" s="153"/>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ht="15.75" customHeight="1">
      <c r="A442" s="153"/>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ht="15.75" customHeight="1">
      <c r="A443" s="153"/>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ht="15.75" customHeight="1">
      <c r="A444" s="153"/>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ht="15.75" customHeight="1">
      <c r="A445" s="153"/>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ht="15.75" customHeight="1">
      <c r="A446" s="153"/>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ht="15.75" customHeight="1">
      <c r="A447" s="153"/>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ht="15.75" customHeight="1">
      <c r="A448" s="153"/>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ht="15.75" customHeight="1">
      <c r="A449" s="153"/>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ht="15.75" customHeight="1">
      <c r="A450" s="153"/>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ht="15.75" customHeight="1">
      <c r="A451" s="153"/>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ht="15.75" customHeight="1">
      <c r="A452" s="153"/>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ht="15.75" customHeight="1">
      <c r="A453" s="153"/>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ht="15.75" customHeight="1">
      <c r="A454" s="153"/>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ht="15.75" customHeight="1">
      <c r="A455" s="153"/>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ht="15.75" customHeight="1">
      <c r="A456" s="153"/>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ht="15.75" customHeight="1">
      <c r="A457" s="153"/>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ht="15.75" customHeight="1">
      <c r="A458" s="153"/>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ht="15.75" customHeight="1">
      <c r="A459" s="153"/>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ht="15.75" customHeight="1">
      <c r="A460" s="153"/>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ht="15.75" customHeight="1">
      <c r="A461" s="153"/>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ht="15.75" customHeight="1">
      <c r="A462" s="153"/>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ht="15.75" customHeight="1">
      <c r="A463" s="153"/>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ht="15.75" customHeight="1">
      <c r="A464" s="153"/>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ht="15.75" customHeight="1">
      <c r="A465" s="153"/>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ht="15.75" customHeight="1">
      <c r="A466" s="153"/>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ht="15.75" customHeight="1">
      <c r="A467" s="153"/>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ht="15.75" customHeight="1">
      <c r="A468" s="153"/>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ht="15.75" customHeight="1">
      <c r="A469" s="153"/>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ht="15.75" customHeight="1">
      <c r="A470" s="153"/>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ht="15.75" customHeight="1">
      <c r="A471" s="153"/>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ht="15.75" customHeight="1">
      <c r="A472" s="153"/>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ht="15.75" customHeight="1">
      <c r="A473" s="153"/>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ht="15.75" customHeight="1">
      <c r="A474" s="153"/>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ht="15.75" customHeight="1">
      <c r="A475" s="153"/>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ht="15.75" customHeight="1">
      <c r="A476" s="153"/>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ht="15.75" customHeight="1">
      <c r="A477" s="153"/>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ht="15.75" customHeight="1">
      <c r="A478" s="153"/>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ht="15.75" customHeight="1">
      <c r="A479" s="153"/>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ht="15.75" customHeight="1">
      <c r="A480" s="153"/>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ht="15.75" customHeight="1">
      <c r="A481" s="153"/>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ht="15.75" customHeight="1">
      <c r="A482" s="153"/>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ht="15.75" customHeight="1">
      <c r="A483" s="153"/>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ht="15.75" customHeight="1">
      <c r="A484" s="153"/>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ht="15.75" customHeight="1">
      <c r="A485" s="153"/>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ht="15.75" customHeight="1">
      <c r="A486" s="153"/>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ht="15.75" customHeight="1">
      <c r="A487" s="153"/>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ht="15.75" customHeight="1">
      <c r="A488" s="153"/>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ht="15.75" customHeight="1">
      <c r="A489" s="153"/>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ht="15.75" customHeight="1">
      <c r="A490" s="153"/>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ht="15.75" customHeight="1">
      <c r="A491" s="153"/>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ht="15.75" customHeight="1">
      <c r="A492" s="153"/>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ht="15.75" customHeight="1">
      <c r="A493" s="153"/>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ht="15.75" customHeight="1">
      <c r="A494" s="153"/>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ht="15.75" customHeight="1">
      <c r="A495" s="153"/>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ht="15.75" customHeight="1">
      <c r="A496" s="153"/>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ht="15.75" customHeight="1">
      <c r="A497" s="153"/>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ht="15.75" customHeight="1">
      <c r="A498" s="153"/>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ht="15.75" customHeight="1">
      <c r="A499" s="153"/>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ht="15.75" customHeight="1">
      <c r="A500" s="153"/>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ht="15.75" customHeight="1">
      <c r="A501" s="153"/>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ht="15.75" customHeight="1">
      <c r="A502" s="153"/>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ht="15.75" customHeight="1">
      <c r="A503" s="153"/>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ht="15.75" customHeight="1">
      <c r="A504" s="153"/>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ht="15.75" customHeight="1">
      <c r="A505" s="153"/>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ht="15.75" customHeight="1">
      <c r="A506" s="153"/>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ht="15.75" customHeight="1">
      <c r="A507" s="153"/>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ht="15.75" customHeight="1">
      <c r="A508" s="153"/>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ht="15.75" customHeight="1">
      <c r="A509" s="153"/>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ht="15.75" customHeight="1">
      <c r="A510" s="153"/>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ht="15.75" customHeight="1">
      <c r="A511" s="153"/>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ht="15.75" customHeight="1">
      <c r="A512" s="153"/>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ht="15.75" customHeight="1">
      <c r="A513" s="153"/>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ht="15.75" customHeight="1">
      <c r="A514" s="153"/>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ht="15.75" customHeight="1">
      <c r="A515" s="153"/>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ht="15.75" customHeight="1">
      <c r="A516" s="153"/>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ht="15.75" customHeight="1">
      <c r="A517" s="153"/>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ht="15.75" customHeight="1">
      <c r="A518" s="153"/>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ht="15.75" customHeight="1">
      <c r="A519" s="153"/>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ht="15.75" customHeight="1">
      <c r="A520" s="153"/>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ht="15.75" customHeight="1">
      <c r="A521" s="153"/>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ht="15.75" customHeight="1">
      <c r="A522" s="153"/>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ht="15.75" customHeight="1">
      <c r="A523" s="153"/>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ht="15.75" customHeight="1">
      <c r="A524" s="153"/>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ht="15.75" customHeight="1">
      <c r="A525" s="153"/>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ht="15.75" customHeight="1">
      <c r="A526" s="153"/>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ht="15.75" customHeight="1">
      <c r="A527" s="153"/>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ht="15.75" customHeight="1">
      <c r="A528" s="153"/>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ht="15.75" customHeight="1">
      <c r="A529" s="153"/>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ht="15.75" customHeight="1">
      <c r="A530" s="153"/>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ht="15.75" customHeight="1">
      <c r="A531" s="153"/>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ht="15.75" customHeight="1">
      <c r="A532" s="153"/>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ht="15.75" customHeight="1">
      <c r="A533" s="153"/>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ht="15.75" customHeight="1">
      <c r="A534" s="153"/>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ht="15.75" customHeight="1">
      <c r="A535" s="153"/>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ht="15.75" customHeight="1">
      <c r="A536" s="153"/>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ht="15.75" customHeight="1">
      <c r="A537" s="153"/>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ht="15.75" customHeight="1">
      <c r="A538" s="153"/>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ht="15.75" customHeight="1">
      <c r="A539" s="153"/>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ht="15.75" customHeight="1">
      <c r="A540" s="153"/>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ht="15.75" customHeight="1">
      <c r="A541" s="153"/>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ht="15.75" customHeight="1">
      <c r="A542" s="153"/>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ht="15.75" customHeight="1">
      <c r="A543" s="153"/>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ht="15.75" customHeight="1">
      <c r="A544" s="153"/>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ht="15.75" customHeight="1">
      <c r="A545" s="153"/>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ht="15.75" customHeight="1">
      <c r="A546" s="153"/>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ht="15.75" customHeight="1">
      <c r="A547" s="153"/>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ht="15.75" customHeight="1">
      <c r="A548" s="153"/>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ht="15.75" customHeight="1">
      <c r="A549" s="153"/>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ht="15.75" customHeight="1">
      <c r="A550" s="153"/>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ht="15.75" customHeight="1">
      <c r="A551" s="153"/>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ht="15.75" customHeight="1">
      <c r="A552" s="153"/>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ht="15.75" customHeight="1">
      <c r="A553" s="153"/>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ht="15.75" customHeight="1">
      <c r="A554" s="153"/>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ht="15.75" customHeight="1">
      <c r="A555" s="153"/>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ht="15.75" customHeight="1">
      <c r="A556" s="153"/>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ht="15.75" customHeight="1">
      <c r="A557" s="153"/>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ht="15.75" customHeight="1">
      <c r="A558" s="153"/>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ht="15.75" customHeight="1">
      <c r="A559" s="153"/>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ht="15.75" customHeight="1">
      <c r="A560" s="153"/>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ht="15.75" customHeight="1">
      <c r="A561" s="153"/>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ht="15.75" customHeight="1">
      <c r="A562" s="153"/>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ht="15.75" customHeight="1">
      <c r="A563" s="153"/>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ht="15.75" customHeight="1">
      <c r="A564" s="153"/>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ht="15.75" customHeight="1">
      <c r="A565" s="153"/>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ht="15.75" customHeight="1">
      <c r="A566" s="153"/>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ht="15.75" customHeight="1">
      <c r="A567" s="153"/>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ht="15.75" customHeight="1">
      <c r="A568" s="153"/>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ht="15.75" customHeight="1">
      <c r="A569" s="153"/>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ht="15.75" customHeight="1">
      <c r="A570" s="153"/>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ht="15.75" customHeight="1">
      <c r="A571" s="153"/>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ht="15.75" customHeight="1">
      <c r="A572" s="153"/>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ht="15.75" customHeight="1">
      <c r="A573" s="153"/>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ht="15.75" customHeight="1">
      <c r="A574" s="153"/>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ht="15.75" customHeight="1">
      <c r="A575" s="153"/>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ht="15.75" customHeight="1">
      <c r="A576" s="153"/>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ht="15.75" customHeight="1">
      <c r="A577" s="153"/>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ht="15.75" customHeight="1">
      <c r="A578" s="153"/>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ht="15.75" customHeight="1">
      <c r="A579" s="153"/>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ht="15.75" customHeight="1">
      <c r="A580" s="153"/>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ht="15.75" customHeight="1">
      <c r="A581" s="153"/>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ht="15.75" customHeight="1">
      <c r="A582" s="153"/>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ht="15.75" customHeight="1">
      <c r="A583" s="153"/>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ht="15.75" customHeight="1">
      <c r="A584" s="153"/>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ht="15.75" customHeight="1">
      <c r="A585" s="153"/>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ht="15.75" customHeight="1">
      <c r="A586" s="153"/>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ht="15.75" customHeight="1">
      <c r="A587" s="153"/>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ht="15.75" customHeight="1">
      <c r="A588" s="153"/>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ht="15.75" customHeight="1">
      <c r="A589" s="153"/>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ht="15.75" customHeight="1">
      <c r="A590" s="153"/>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ht="15.75" customHeight="1">
      <c r="A591" s="153"/>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ht="15.75" customHeight="1">
      <c r="A592" s="153"/>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ht="15.75" customHeight="1">
      <c r="A593" s="153"/>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ht="15.75" customHeight="1">
      <c r="A594" s="153"/>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ht="15.75" customHeight="1">
      <c r="A595" s="153"/>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ht="15.75" customHeight="1">
      <c r="A596" s="153"/>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ht="15.75" customHeight="1">
      <c r="A597" s="153"/>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ht="15.75" customHeight="1">
      <c r="A598" s="153"/>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ht="15.75" customHeight="1">
      <c r="A599" s="153"/>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ht="15.75" customHeight="1">
      <c r="A600" s="153"/>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ht="15.75" customHeight="1">
      <c r="A601" s="153"/>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ht="15.75" customHeight="1">
      <c r="A602" s="153"/>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ht="15.75" customHeight="1">
      <c r="A603" s="153"/>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ht="15.75" customHeight="1">
      <c r="A604" s="153"/>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ht="15.75" customHeight="1">
      <c r="A605" s="153"/>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ht="15.75" customHeight="1">
      <c r="A606" s="153"/>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ht="15.75" customHeight="1">
      <c r="A607" s="153"/>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ht="15.75" customHeight="1">
      <c r="A608" s="153"/>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ht="15.75" customHeight="1">
      <c r="A609" s="153"/>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ht="15.75" customHeight="1">
      <c r="A610" s="153"/>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ht="15.75" customHeight="1">
      <c r="A611" s="153"/>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ht="15.75" customHeight="1">
      <c r="A612" s="153"/>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ht="15.75" customHeight="1">
      <c r="A613" s="153"/>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ht="15.75" customHeight="1">
      <c r="A614" s="153"/>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ht="15.75" customHeight="1">
      <c r="A615" s="153"/>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ht="15.75" customHeight="1">
      <c r="A616" s="153"/>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ht="15.75" customHeight="1">
      <c r="A617" s="153"/>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ht="15.75" customHeight="1">
      <c r="A618" s="153"/>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ht="15.75" customHeight="1">
      <c r="A619" s="153"/>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ht="15.75" customHeight="1">
      <c r="A620" s="153"/>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ht="15.75" customHeight="1">
      <c r="A621" s="153"/>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ht="15.75" customHeight="1">
      <c r="A622" s="153"/>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ht="15.75" customHeight="1">
      <c r="A623" s="153"/>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ht="15.75" customHeight="1">
      <c r="A624" s="153"/>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ht="15.75" customHeight="1">
      <c r="A625" s="153"/>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ht="15.75" customHeight="1">
      <c r="A626" s="153"/>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ht="15.75" customHeight="1">
      <c r="A627" s="153"/>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ht="15.75" customHeight="1">
      <c r="A628" s="153"/>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ht="15.75" customHeight="1">
      <c r="A629" s="153"/>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ht="15.75" customHeight="1">
      <c r="A630" s="153"/>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ht="15.75" customHeight="1">
      <c r="A631" s="153"/>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ht="15.75" customHeight="1">
      <c r="A632" s="153"/>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ht="15.75" customHeight="1">
      <c r="A633" s="153"/>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ht="15.75" customHeight="1">
      <c r="A634" s="153"/>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ht="15.75" customHeight="1">
      <c r="A635" s="153"/>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ht="15.75" customHeight="1">
      <c r="A636" s="153"/>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ht="15.75" customHeight="1">
      <c r="A637" s="153"/>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ht="15.75" customHeight="1">
      <c r="A638" s="153"/>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ht="15.75" customHeight="1">
      <c r="A639" s="153"/>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ht="15.75" customHeight="1">
      <c r="A640" s="153"/>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ht="15.75" customHeight="1">
      <c r="A641" s="153"/>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ht="15.75" customHeight="1">
      <c r="A642" s="153"/>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ht="15.75" customHeight="1">
      <c r="A643" s="153"/>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ht="15.75" customHeight="1">
      <c r="A644" s="153"/>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ht="15.75" customHeight="1">
      <c r="A645" s="153"/>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ht="15.75" customHeight="1">
      <c r="A646" s="153"/>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ht="15.75" customHeight="1">
      <c r="A647" s="153"/>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ht="15.75" customHeight="1">
      <c r="A648" s="153"/>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ht="15.75" customHeight="1">
      <c r="A649" s="153"/>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ht="15.75" customHeight="1">
      <c r="A650" s="153"/>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ht="15.75" customHeight="1">
      <c r="A651" s="153"/>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ht="15.75" customHeight="1">
      <c r="A652" s="153"/>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ht="15.75" customHeight="1">
      <c r="A653" s="153"/>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ht="15.75" customHeight="1">
      <c r="A654" s="153"/>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ht="15.75" customHeight="1">
      <c r="A655" s="153"/>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ht="15.75" customHeight="1">
      <c r="A656" s="153"/>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ht="15.75" customHeight="1">
      <c r="A657" s="153"/>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ht="15.75" customHeight="1">
      <c r="A658" s="153"/>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ht="15.75" customHeight="1">
      <c r="A659" s="153"/>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ht="15.75" customHeight="1">
      <c r="A660" s="153"/>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ht="15.75" customHeight="1">
      <c r="A661" s="153"/>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ht="15.75" customHeight="1">
      <c r="A662" s="153"/>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ht="15.75" customHeight="1">
      <c r="A663" s="153"/>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ht="15.75" customHeight="1">
      <c r="A664" s="153"/>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ht="15.75" customHeight="1">
      <c r="A665" s="153"/>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ht="15.75" customHeight="1">
      <c r="A666" s="153"/>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ht="15.75" customHeight="1">
      <c r="A667" s="153"/>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ht="15.75" customHeight="1">
      <c r="A668" s="153"/>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ht="15.75" customHeight="1">
      <c r="A669" s="153"/>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ht="15.75" customHeight="1">
      <c r="A670" s="153"/>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ht="15.75" customHeight="1">
      <c r="A671" s="153"/>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ht="15.75" customHeight="1">
      <c r="A672" s="153"/>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ht="15.75" customHeight="1">
      <c r="A673" s="153"/>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ht="15.75" customHeight="1">
      <c r="A674" s="153"/>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ht="15.75" customHeight="1">
      <c r="A675" s="153"/>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ht="15.75" customHeight="1">
      <c r="A676" s="153"/>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ht="15.75" customHeight="1">
      <c r="A677" s="153"/>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ht="15.75" customHeight="1">
      <c r="A678" s="153"/>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ht="15.75" customHeight="1">
      <c r="A679" s="153"/>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ht="15.75" customHeight="1">
      <c r="A680" s="153"/>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ht="15.75" customHeight="1">
      <c r="A681" s="153"/>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ht="15.75" customHeight="1">
      <c r="A682" s="153"/>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ht="15.75" customHeight="1">
      <c r="A683" s="153"/>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ht="15.75" customHeight="1">
      <c r="A684" s="153"/>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ht="15.75" customHeight="1">
      <c r="A685" s="153"/>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ht="15.75" customHeight="1">
      <c r="A686" s="153"/>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ht="15.75" customHeight="1">
      <c r="A687" s="153"/>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ht="15.75" customHeight="1">
      <c r="A688" s="153"/>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ht="15.75" customHeight="1">
      <c r="A689" s="153"/>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ht="15.75" customHeight="1">
      <c r="A690" s="153"/>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ht="15.75" customHeight="1">
      <c r="A691" s="153"/>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ht="15.75" customHeight="1">
      <c r="A692" s="153"/>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ht="15.75" customHeight="1">
      <c r="A693" s="153"/>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ht="15.75" customHeight="1">
      <c r="A694" s="153"/>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ht="15.75" customHeight="1">
      <c r="A695" s="153"/>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ht="15.75" customHeight="1">
      <c r="A696" s="153"/>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ht="15.75" customHeight="1">
      <c r="A697" s="153"/>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ht="15.75" customHeight="1">
      <c r="A698" s="153"/>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ht="15.75" customHeight="1">
      <c r="A699" s="153"/>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ht="15.75" customHeight="1">
      <c r="A700" s="153"/>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ht="15.75" customHeight="1">
      <c r="A701" s="153"/>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ht="15.75" customHeight="1">
      <c r="A702" s="153"/>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ht="15.75" customHeight="1">
      <c r="A703" s="153"/>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ht="15.75" customHeight="1">
      <c r="A704" s="153"/>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ht="15.75" customHeight="1">
      <c r="A705" s="153"/>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ht="15.75" customHeight="1">
      <c r="A706" s="153"/>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ht="15.75" customHeight="1">
      <c r="A707" s="153"/>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ht="15.75" customHeight="1">
      <c r="A708" s="153"/>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ht="15.75" customHeight="1">
      <c r="A709" s="153"/>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ht="15.75" customHeight="1">
      <c r="A710" s="153"/>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ht="15.75" customHeight="1">
      <c r="A711" s="153"/>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ht="15.75" customHeight="1">
      <c r="A712" s="153"/>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ht="15.75" customHeight="1">
      <c r="A713" s="153"/>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ht="15.75" customHeight="1">
      <c r="A714" s="153"/>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ht="15.75" customHeight="1">
      <c r="A715" s="153"/>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ht="15.75" customHeight="1">
      <c r="A716" s="153"/>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ht="15.75" customHeight="1">
      <c r="A717" s="153"/>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ht="15.75" customHeight="1">
      <c r="A718" s="153"/>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ht="15.75" customHeight="1">
      <c r="A719" s="153"/>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ht="15.75" customHeight="1">
      <c r="A720" s="153"/>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ht="15.75" customHeight="1">
      <c r="A721" s="153"/>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ht="15.75" customHeight="1">
      <c r="A722" s="153"/>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ht="15.75" customHeight="1">
      <c r="A723" s="153"/>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ht="15.75" customHeight="1">
      <c r="A724" s="153"/>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ht="15.75" customHeight="1">
      <c r="A725" s="153"/>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ht="15.75" customHeight="1">
      <c r="A726" s="153"/>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ht="15.75" customHeight="1">
      <c r="A727" s="153"/>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ht="15.75" customHeight="1">
      <c r="A728" s="153"/>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ht="15.75" customHeight="1">
      <c r="A729" s="153"/>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ht="15.75" customHeight="1">
      <c r="A730" s="153"/>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ht="15.75" customHeight="1">
      <c r="A731" s="153"/>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ht="15.75" customHeight="1">
      <c r="A732" s="153"/>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ht="15.75" customHeight="1">
      <c r="A733" s="153"/>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ht="15.75" customHeight="1">
      <c r="A734" s="153"/>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ht="15.75" customHeight="1">
      <c r="A735" s="153"/>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ht="15.75" customHeight="1">
      <c r="A736" s="153"/>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ht="15.75" customHeight="1">
      <c r="A737" s="153"/>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ht="15.75" customHeight="1">
      <c r="A738" s="153"/>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ht="15.75" customHeight="1">
      <c r="A739" s="153"/>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ht="15.75" customHeight="1">
      <c r="A740" s="153"/>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ht="15.75" customHeight="1">
      <c r="A741" s="153"/>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ht="15.75" customHeight="1">
      <c r="A742" s="153"/>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ht="15.75" customHeight="1">
      <c r="A743" s="153"/>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ht="15.75" customHeight="1">
      <c r="A744" s="153"/>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ht="15.75" customHeight="1">
      <c r="A745" s="153"/>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ht="15.75" customHeight="1">
      <c r="A746" s="153"/>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ht="15.75" customHeight="1">
      <c r="A747" s="153"/>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ht="15.75" customHeight="1">
      <c r="A748" s="153"/>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ht="15.75" customHeight="1">
      <c r="A749" s="153"/>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ht="15.75" customHeight="1">
      <c r="A750" s="153"/>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ht="15.75" customHeight="1">
      <c r="A751" s="153"/>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ht="15.75" customHeight="1">
      <c r="A752" s="153"/>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ht="15.75" customHeight="1">
      <c r="A753" s="153"/>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ht="15.75" customHeight="1">
      <c r="A754" s="153"/>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ht="15.75" customHeight="1">
      <c r="A755" s="153"/>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ht="15.75" customHeight="1">
      <c r="A756" s="153"/>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ht="15.75" customHeight="1">
      <c r="A757" s="153"/>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ht="15.75" customHeight="1">
      <c r="A758" s="153"/>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ht="15.75" customHeight="1">
      <c r="A759" s="153"/>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ht="15.75" customHeight="1">
      <c r="A760" s="153"/>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ht="15.75" customHeight="1">
      <c r="A761" s="153"/>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ht="15.75" customHeight="1">
      <c r="A762" s="153"/>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ht="15.75" customHeight="1">
      <c r="A763" s="153"/>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ht="15.75" customHeight="1">
      <c r="A764" s="153"/>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ht="15.75" customHeight="1">
      <c r="A765" s="153"/>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ht="15.75" customHeight="1">
      <c r="A766" s="153"/>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ht="15.75" customHeight="1">
      <c r="A767" s="153"/>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ht="15.75" customHeight="1">
      <c r="A768" s="153"/>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ht="15.75" customHeight="1">
      <c r="A769" s="153"/>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ht="15.75" customHeight="1">
      <c r="A770" s="153"/>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ht="15.75" customHeight="1">
      <c r="A771" s="153"/>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ht="15.75" customHeight="1">
      <c r="A772" s="153"/>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ht="15.75" customHeight="1">
      <c r="A773" s="153"/>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ht="15.75" customHeight="1">
      <c r="A774" s="153"/>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ht="15.75" customHeight="1">
      <c r="A775" s="153"/>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ht="15.75" customHeight="1">
      <c r="A776" s="153"/>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ht="15.75" customHeight="1">
      <c r="A777" s="153"/>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ht="15.75" customHeight="1">
      <c r="A778" s="153"/>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ht="15.75" customHeight="1">
      <c r="A779" s="153"/>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ht="15.75" customHeight="1">
      <c r="A780" s="153"/>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ht="15.75" customHeight="1">
      <c r="A781" s="153"/>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ht="15.75" customHeight="1">
      <c r="A782" s="153"/>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ht="15.75" customHeight="1">
      <c r="A783" s="153"/>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ht="15.75" customHeight="1">
      <c r="A784" s="153"/>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ht="15.75" customHeight="1">
      <c r="A785" s="153"/>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ht="15.75" customHeight="1">
      <c r="A786" s="153"/>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ht="15.75" customHeight="1">
      <c r="A787" s="153"/>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ht="15.75" customHeight="1">
      <c r="A788" s="153"/>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ht="15.75" customHeight="1">
      <c r="A789" s="153"/>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ht="15.75" customHeight="1">
      <c r="A790" s="153"/>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ht="15.75" customHeight="1">
      <c r="A791" s="153"/>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ht="15.75" customHeight="1">
      <c r="A792" s="153"/>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ht="15.75" customHeight="1">
      <c r="A793" s="153"/>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ht="15.75" customHeight="1">
      <c r="A794" s="153"/>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ht="15.75" customHeight="1">
      <c r="A795" s="153"/>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ht="15.75" customHeight="1">
      <c r="A796" s="153"/>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ht="15.75" customHeight="1">
      <c r="A797" s="153"/>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ht="15.75" customHeight="1">
      <c r="A798" s="153"/>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ht="15.75" customHeight="1">
      <c r="A799" s="153"/>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ht="15.75" customHeight="1">
      <c r="A800" s="153"/>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ht="15.75" customHeight="1">
      <c r="A801" s="153"/>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ht="15.75" customHeight="1">
      <c r="A802" s="153"/>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ht="15.75" customHeight="1">
      <c r="A803" s="153"/>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ht="15.75" customHeight="1">
      <c r="A804" s="153"/>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ht="15.75" customHeight="1">
      <c r="A805" s="153"/>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ht="15.75" customHeight="1">
      <c r="A806" s="153"/>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ht="15.75" customHeight="1">
      <c r="A807" s="153"/>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ht="15.75" customHeight="1">
      <c r="A808" s="153"/>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ht="15.75" customHeight="1">
      <c r="A809" s="153"/>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ht="15.75" customHeight="1">
      <c r="A810" s="153"/>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ht="15.75" customHeight="1">
      <c r="A811" s="153"/>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ht="15.75" customHeight="1">
      <c r="A812" s="153"/>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ht="15.75" customHeight="1">
      <c r="A813" s="153"/>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ht="15.75" customHeight="1">
      <c r="A814" s="153"/>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ht="15.75" customHeight="1">
      <c r="A815" s="153"/>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ht="15.75" customHeight="1">
      <c r="A816" s="153"/>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ht="15.75" customHeight="1">
      <c r="A817" s="153"/>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ht="15.75" customHeight="1">
      <c r="A818" s="153"/>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ht="15.75" customHeight="1">
      <c r="A819" s="153"/>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ht="15.75" customHeight="1">
      <c r="A820" s="153"/>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ht="15.75" customHeight="1">
      <c r="A821" s="153"/>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ht="15.75" customHeight="1">
      <c r="A822" s="153"/>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ht="15.75" customHeight="1">
      <c r="A823" s="153"/>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ht="15.75" customHeight="1">
      <c r="A824" s="153"/>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ht="15.75" customHeight="1">
      <c r="A825" s="153"/>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ht="15.75" customHeight="1">
      <c r="A826" s="153"/>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ht="15.75" customHeight="1">
      <c r="A827" s="153"/>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ht="15.75" customHeight="1">
      <c r="A828" s="153"/>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ht="15.75" customHeight="1">
      <c r="A829" s="153"/>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ht="15.75" customHeight="1">
      <c r="A830" s="153"/>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ht="15.75" customHeight="1">
      <c r="A831" s="153"/>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ht="15.75" customHeight="1">
      <c r="A832" s="153"/>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ht="15.75" customHeight="1">
      <c r="A833" s="153"/>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ht="15.75" customHeight="1">
      <c r="A834" s="153"/>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ht="15.75" customHeight="1">
      <c r="A835" s="153"/>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ht="15.75" customHeight="1">
      <c r="A836" s="153"/>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ht="15.75" customHeight="1">
      <c r="A837" s="153"/>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ht="15.75" customHeight="1">
      <c r="A838" s="153"/>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ht="15.75" customHeight="1">
      <c r="A839" s="153"/>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ht="15.75" customHeight="1">
      <c r="A840" s="153"/>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ht="15.75" customHeight="1">
      <c r="A841" s="153"/>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ht="15.75" customHeight="1">
      <c r="A842" s="153"/>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ht="15.75" customHeight="1">
      <c r="A843" s="153"/>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ht="15.75" customHeight="1">
      <c r="A844" s="153"/>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ht="15.75" customHeight="1">
      <c r="A845" s="153"/>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ht="15.75" customHeight="1">
      <c r="A846" s="153"/>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ht="15.75" customHeight="1">
      <c r="A847" s="153"/>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ht="15.75" customHeight="1">
      <c r="A848" s="153"/>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ht="15.75" customHeight="1">
      <c r="A849" s="153"/>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ht="15.75" customHeight="1">
      <c r="A850" s="153"/>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ht="15.75" customHeight="1">
      <c r="A851" s="153"/>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ht="15.75" customHeight="1">
      <c r="A852" s="153"/>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ht="15.75" customHeight="1">
      <c r="A853" s="153"/>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ht="15.75" customHeight="1">
      <c r="A854" s="153"/>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ht="15.75" customHeight="1">
      <c r="A855" s="153"/>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ht="15.75" customHeight="1">
      <c r="A856" s="153"/>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ht="15.75" customHeight="1">
      <c r="A857" s="153"/>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ht="15.75" customHeight="1">
      <c r="A858" s="153"/>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ht="15.75" customHeight="1">
      <c r="A859" s="153"/>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ht="15.75" customHeight="1">
      <c r="A860" s="153"/>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ht="15.75" customHeight="1">
      <c r="A861" s="153"/>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ht="15.75" customHeight="1">
      <c r="A862" s="153"/>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ht="15.75" customHeight="1">
      <c r="A863" s="153"/>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ht="15.75" customHeight="1">
      <c r="A864" s="153"/>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ht="15.75" customHeight="1">
      <c r="A865" s="153"/>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ht="15.75" customHeight="1">
      <c r="A866" s="153"/>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ht="15.75" customHeight="1">
      <c r="A867" s="153"/>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ht="15.75" customHeight="1">
      <c r="A868" s="153"/>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ht="15.75" customHeight="1">
      <c r="A869" s="153"/>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ht="15.75" customHeight="1">
      <c r="A870" s="153"/>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ht="15.75" customHeight="1">
      <c r="A871" s="153"/>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ht="15.75" customHeight="1">
      <c r="A872" s="153"/>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ht="15.75" customHeight="1">
      <c r="A873" s="153"/>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ht="15.75" customHeight="1">
      <c r="A874" s="153"/>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ht="15.75" customHeight="1">
      <c r="A875" s="153"/>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ht="15.75" customHeight="1">
      <c r="A876" s="153"/>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ht="15.75" customHeight="1">
      <c r="A877" s="153"/>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ht="15.75" customHeight="1">
      <c r="A878" s="153"/>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ht="15.75" customHeight="1">
      <c r="A879" s="153"/>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ht="15.75" customHeight="1">
      <c r="A880" s="153"/>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ht="15.75" customHeight="1">
      <c r="A881" s="153"/>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ht="15.75" customHeight="1">
      <c r="A882" s="153"/>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ht="15.75" customHeight="1">
      <c r="A883" s="153"/>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ht="15.75" customHeight="1">
      <c r="A884" s="153"/>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ht="15.75" customHeight="1">
      <c r="A885" s="153"/>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ht="15.75" customHeight="1">
      <c r="A886" s="153"/>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ht="15.75" customHeight="1">
      <c r="A887" s="153"/>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ht="15.75" customHeight="1">
      <c r="A888" s="153"/>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ht="15.75" customHeight="1">
      <c r="A889" s="153"/>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ht="15.75" customHeight="1">
      <c r="A890" s="153"/>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ht="15.75" customHeight="1">
      <c r="A891" s="153"/>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ht="15.75" customHeight="1">
      <c r="A892" s="153"/>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ht="15.75" customHeight="1">
      <c r="A893" s="153"/>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ht="15.75" customHeight="1">
      <c r="A894" s="153"/>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ht="15.75" customHeight="1">
      <c r="A895" s="153"/>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ht="15.75" customHeight="1">
      <c r="A896" s="153"/>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ht="15.75" customHeight="1">
      <c r="A897" s="153"/>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ht="15.75" customHeight="1">
      <c r="A898" s="153"/>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ht="15.75" customHeight="1">
      <c r="A899" s="153"/>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ht="15.75" customHeight="1">
      <c r="A900" s="153"/>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ht="15.75" customHeight="1">
      <c r="A901" s="153"/>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ht="15.75" customHeight="1">
      <c r="A902" s="153"/>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ht="15.75" customHeight="1">
      <c r="A903" s="153"/>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ht="15.75" customHeight="1">
      <c r="A904" s="153"/>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ht="15.75" customHeight="1">
      <c r="A905" s="153"/>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ht="15.75" customHeight="1">
      <c r="A906" s="153"/>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ht="15.75" customHeight="1">
      <c r="A907" s="153"/>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ht="15.75" customHeight="1">
      <c r="A908" s="153"/>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ht="15.75" customHeight="1">
      <c r="A909" s="153"/>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ht="15.75" customHeight="1">
      <c r="A910" s="153"/>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ht="15.75" customHeight="1">
      <c r="A911" s="153"/>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ht="15.75" customHeight="1">
      <c r="A912" s="153"/>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ht="15.75" customHeight="1">
      <c r="A913" s="153"/>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ht="15.75" customHeight="1">
      <c r="A914" s="153"/>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ht="15.75" customHeight="1">
      <c r="A915" s="153"/>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ht="15.75" customHeight="1">
      <c r="A916" s="153"/>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ht="15.75" customHeight="1">
      <c r="A917" s="153"/>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ht="15.75" customHeight="1">
      <c r="A918" s="153"/>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ht="15.75" customHeight="1">
      <c r="A919" s="153"/>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ht="15.75" customHeight="1">
      <c r="A920" s="153"/>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ht="15.75" customHeight="1">
      <c r="A921" s="153"/>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ht="15.75" customHeight="1">
      <c r="A922" s="153"/>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ht="15.75" customHeight="1">
      <c r="A923" s="153"/>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ht="15.75" customHeight="1">
      <c r="A924" s="153"/>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ht="15.75" customHeight="1">
      <c r="A925" s="153"/>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ht="15.75" customHeight="1">
      <c r="A926" s="153"/>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ht="15.75" customHeight="1">
      <c r="A927" s="153"/>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ht="15.75" customHeight="1">
      <c r="A928" s="153"/>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ht="15.75" customHeight="1">
      <c r="A929" s="153"/>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ht="15.75" customHeight="1">
      <c r="A930" s="153"/>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ht="15.75" customHeight="1">
      <c r="A931" s="153"/>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ht="15.75" customHeight="1">
      <c r="A932" s="153"/>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ht="15.75" customHeight="1">
      <c r="A933" s="153"/>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ht="15.75" customHeight="1">
      <c r="A934" s="153"/>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ht="15.75" customHeight="1">
      <c r="A935" s="153"/>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ht="15.75" customHeight="1">
      <c r="A936" s="153"/>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ht="15.75" customHeight="1">
      <c r="A937" s="153"/>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ht="15.75" customHeight="1">
      <c r="A938" s="153"/>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ht="15.75" customHeight="1">
      <c r="A939" s="153"/>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ht="15.75" customHeight="1">
      <c r="A940" s="153"/>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ht="15.75" customHeight="1">
      <c r="A941" s="153"/>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ht="15.75" customHeight="1">
      <c r="A942" s="153"/>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ht="15.75" customHeight="1">
      <c r="A943" s="153"/>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ht="15.75" customHeight="1">
      <c r="A944" s="153"/>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ht="15.75" customHeight="1">
      <c r="A945" s="153"/>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ht="15.75" customHeight="1">
      <c r="A946" s="153"/>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ht="15.75" customHeight="1">
      <c r="A947" s="153"/>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ht="15.75" customHeight="1">
      <c r="A948" s="153"/>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ht="15.75" customHeight="1">
      <c r="A949" s="153"/>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ht="15.75" customHeight="1">
      <c r="A950" s="153"/>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ht="15.75" customHeight="1">
      <c r="A951" s="153"/>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ht="15.75" customHeight="1">
      <c r="A952" s="153"/>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ht="15.75" customHeight="1">
      <c r="A953" s="153"/>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ht="15.75" customHeight="1">
      <c r="A954" s="153"/>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ht="15.75" customHeight="1">
      <c r="A955" s="153"/>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ht="15.75" customHeight="1">
      <c r="A956" s="153"/>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ht="15.75" customHeight="1">
      <c r="A957" s="153"/>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ht="15.75" customHeight="1">
      <c r="A958" s="153"/>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ht="15.75" customHeight="1">
      <c r="A959" s="153"/>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ht="15.75" customHeight="1">
      <c r="A960" s="153"/>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ht="15.75" customHeight="1">
      <c r="A961" s="153"/>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ht="15.75" customHeight="1">
      <c r="A962" s="153"/>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ht="15.75" customHeight="1">
      <c r="A963" s="153"/>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ht="15.75" customHeight="1">
      <c r="A964" s="153"/>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ht="15.75" customHeight="1">
      <c r="A965" s="153"/>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ht="15.75" customHeight="1">
      <c r="A966" s="153"/>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ht="15.75" customHeight="1">
      <c r="A967" s="153"/>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ht="15.75" customHeight="1">
      <c r="A968" s="153"/>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ht="15.75" customHeight="1">
      <c r="A969" s="153"/>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ht="15.75" customHeight="1">
      <c r="A970" s="153"/>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ht="15.75" customHeight="1">
      <c r="A971" s="153"/>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ht="15.75" customHeight="1">
      <c r="A972" s="153"/>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ht="15.75" customHeight="1">
      <c r="A973" s="153"/>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ht="15.75" customHeight="1">
      <c r="A974" s="153"/>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ht="15.75" customHeight="1">
      <c r="A975" s="153"/>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ht="15.75" customHeight="1">
      <c r="A976" s="153"/>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ht="15.75" customHeight="1">
      <c r="A977" s="153"/>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ht="15.75" customHeight="1">
      <c r="A978" s="153"/>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ht="15.75" customHeight="1">
      <c r="A979" s="153"/>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ht="15.75" customHeight="1">
      <c r="A980" s="153"/>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ht="15.75" customHeight="1">
      <c r="A981" s="153"/>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ht="15.75" customHeight="1">
      <c r="A982" s="153"/>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ht="15.75" customHeight="1">
      <c r="A983" s="153"/>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ht="15.75" customHeight="1">
      <c r="A984" s="153"/>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ht="15.75" customHeight="1">
      <c r="A985" s="153"/>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ht="15.75" customHeight="1">
      <c r="A986" s="153"/>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ht="15.75" customHeight="1">
      <c r="A987" s="153"/>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ht="15.75" customHeight="1">
      <c r="A988" s="153"/>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ht="15.75" customHeight="1">
      <c r="A989" s="153"/>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ht="15.75" customHeight="1">
      <c r="A990" s="153"/>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ht="15.75" customHeight="1">
      <c r="A991" s="153"/>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ht="15.75" customHeight="1">
      <c r="A992" s="153"/>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ht="15.75" customHeight="1">
      <c r="A993" s="153"/>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ht="15.75" customHeight="1">
      <c r="A994" s="153"/>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ht="15.75" customHeight="1">
      <c r="A995" s="153"/>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ht="15.75" customHeight="1">
      <c r="A996" s="153"/>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ht="15.75" customHeight="1">
      <c r="A997" s="153"/>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ht="15.75" customHeight="1">
      <c r="A998" s="153"/>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ht="15.75" customHeight="1">
      <c r="A999" s="153"/>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row r="1000" ht="15.75" customHeight="1">
      <c r="A1000" s="153"/>
      <c r="B1000" s="153"/>
      <c r="C1000" s="153"/>
      <c r="D1000" s="153"/>
      <c r="E1000" s="153"/>
      <c r="F1000" s="153"/>
      <c r="G1000" s="153"/>
      <c r="H1000" s="153"/>
      <c r="I1000" s="153"/>
      <c r="J1000" s="153"/>
      <c r="K1000" s="153"/>
      <c r="L1000" s="153"/>
      <c r="M1000" s="153"/>
      <c r="N1000" s="153"/>
      <c r="O1000" s="153"/>
      <c r="P1000" s="153"/>
      <c r="Q1000" s="153"/>
      <c r="R1000" s="153"/>
      <c r="S1000" s="153"/>
      <c r="T1000" s="153"/>
      <c r="U1000" s="153"/>
      <c r="V1000" s="153"/>
      <c r="W1000" s="153"/>
      <c r="X1000" s="153"/>
      <c r="Y1000" s="153"/>
      <c r="Z1000" s="153"/>
    </row>
  </sheetData>
  <printOptions/>
  <pageMargins bottom="0.75" footer="0.0" header="0.0" left="0.7" right="0.7" top="0.7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99"/>
    <pageSetUpPr/>
  </sheetPr>
  <sheetViews>
    <sheetView workbookViewId="0"/>
  </sheetViews>
  <sheetFormatPr customHeight="1" defaultColWidth="14.43" defaultRowHeight="15.0"/>
  <cols>
    <col customWidth="1" min="1" max="1" width="8.71"/>
    <col customWidth="1" min="2" max="2" width="29.14"/>
    <col customWidth="1" min="3" max="3" width="9.29"/>
    <col customWidth="1" min="4" max="4" width="11.43"/>
    <col customWidth="1" min="5" max="5" width="11.57"/>
    <col customWidth="1" min="6" max="6" width="11.86"/>
    <col customWidth="1" min="7" max="7" width="10.86"/>
    <col customWidth="1" min="8" max="8" width="10.29"/>
    <col customWidth="1" min="9" max="9" width="13.43"/>
    <col customWidth="1" min="10" max="10" width="9.29"/>
    <col customWidth="1" min="11" max="26" width="8.71"/>
  </cols>
  <sheetData>
    <row r="5">
      <c r="A5" s="175" t="s">
        <v>373</v>
      </c>
      <c r="B5" s="216"/>
      <c r="C5" s="216"/>
      <c r="D5" s="216"/>
      <c r="E5" s="216"/>
      <c r="F5" s="216"/>
      <c r="G5" s="216"/>
      <c r="H5" s="216"/>
      <c r="I5" s="216"/>
      <c r="J5" s="216"/>
      <c r="K5" s="216"/>
      <c r="L5" s="154"/>
      <c r="M5" s="154"/>
      <c r="N5" s="154"/>
      <c r="O5" s="154"/>
      <c r="P5" s="154"/>
      <c r="Q5" s="154"/>
      <c r="R5" s="154"/>
      <c r="S5" s="154"/>
      <c r="T5" s="154"/>
      <c r="U5" s="154"/>
      <c r="V5" s="154"/>
      <c r="W5" s="154"/>
      <c r="X5" s="154"/>
      <c r="Y5" s="154"/>
      <c r="Z5" s="154"/>
    </row>
    <row r="6">
      <c r="A6" s="181"/>
      <c r="B6" s="217" t="s">
        <v>374</v>
      </c>
      <c r="C6" s="218"/>
      <c r="D6" s="218"/>
      <c r="E6" s="218"/>
      <c r="F6" s="218"/>
      <c r="G6" s="218"/>
      <c r="H6" s="180"/>
      <c r="I6" s="180"/>
      <c r="J6" s="180"/>
      <c r="K6" s="180"/>
      <c r="L6" s="154"/>
      <c r="M6" s="154"/>
      <c r="N6" s="154"/>
      <c r="O6" s="154"/>
      <c r="P6" s="154"/>
      <c r="Q6" s="154"/>
      <c r="R6" s="154"/>
      <c r="S6" s="154"/>
      <c r="T6" s="154"/>
      <c r="U6" s="154"/>
      <c r="V6" s="154"/>
      <c r="W6" s="154"/>
      <c r="X6" s="154"/>
      <c r="Y6" s="154"/>
      <c r="Z6" s="154"/>
    </row>
    <row r="7">
      <c r="A7" s="180"/>
      <c r="B7" s="219" t="s">
        <v>375</v>
      </c>
      <c r="C7" s="220" t="s">
        <v>376</v>
      </c>
      <c r="D7" s="220" t="s">
        <v>377</v>
      </c>
      <c r="E7" s="220" t="s">
        <v>378</v>
      </c>
      <c r="F7" s="220" t="s">
        <v>379</v>
      </c>
      <c r="G7" s="220" t="s">
        <v>380</v>
      </c>
      <c r="H7" s="221" t="s">
        <v>381</v>
      </c>
      <c r="I7" s="220" t="s">
        <v>86</v>
      </c>
      <c r="J7" s="220" t="s">
        <v>382</v>
      </c>
      <c r="K7" s="162"/>
      <c r="L7" s="162"/>
      <c r="M7" s="154"/>
      <c r="N7" s="154"/>
      <c r="O7" s="154"/>
      <c r="P7" s="154"/>
      <c r="Q7" s="154"/>
      <c r="R7" s="154"/>
      <c r="S7" s="154"/>
      <c r="T7" s="154"/>
      <c r="U7" s="154"/>
      <c r="V7" s="154"/>
      <c r="W7" s="154"/>
      <c r="X7" s="154"/>
      <c r="Y7" s="154"/>
      <c r="Z7" s="154"/>
    </row>
    <row r="8">
      <c r="A8" s="180"/>
      <c r="B8" s="222" t="s">
        <v>383</v>
      </c>
      <c r="C8" s="223">
        <v>2.75</v>
      </c>
      <c r="D8" s="224">
        <v>86.0</v>
      </c>
      <c r="E8" s="225">
        <f t="shared" ref="E8:E15" si="1">C8*(D8/100)</f>
        <v>2.365</v>
      </c>
      <c r="F8" s="226">
        <f>E8*'Drylot Lamb Finishing Budget'!$G$23</f>
        <v>290.895</v>
      </c>
      <c r="G8" s="227">
        <f>'Drylot Lamb Finishing Budget'!$G$23*C8</f>
        <v>338.25</v>
      </c>
      <c r="H8" s="228">
        <v>7.0</v>
      </c>
      <c r="I8" s="184" t="s">
        <v>384</v>
      </c>
      <c r="J8" s="229">
        <f>G8*(H8/56)</f>
        <v>42.28125</v>
      </c>
      <c r="K8" s="154"/>
      <c r="L8" s="154"/>
      <c r="M8" s="154"/>
      <c r="N8" s="154"/>
      <c r="O8" s="154"/>
      <c r="P8" s="154"/>
      <c r="Q8" s="154"/>
      <c r="R8" s="154"/>
      <c r="S8" s="154"/>
      <c r="T8" s="154"/>
      <c r="U8" s="154"/>
      <c r="V8" s="154"/>
      <c r="W8" s="154"/>
      <c r="X8" s="154"/>
      <c r="Y8" s="154"/>
      <c r="Z8" s="154"/>
    </row>
    <row r="9">
      <c r="A9" s="180"/>
      <c r="B9" s="230"/>
      <c r="C9" s="223"/>
      <c r="D9" s="224"/>
      <c r="E9" s="225">
        <f t="shared" si="1"/>
        <v>0</v>
      </c>
      <c r="F9" s="226">
        <f>E9*'Drylot Lamb Finishing Budget'!$G$23</f>
        <v>0</v>
      </c>
      <c r="G9" s="227">
        <f>'Drylot Lamb Finishing Budget'!$G$23*C9</f>
        <v>0</v>
      </c>
      <c r="H9" s="228"/>
      <c r="I9" s="184" t="s">
        <v>385</v>
      </c>
      <c r="J9" s="229">
        <f t="shared" ref="J9:J11" si="2">G9*(H9/2000)</f>
        <v>0</v>
      </c>
      <c r="K9" s="154"/>
      <c r="L9" s="154"/>
      <c r="M9" s="154"/>
      <c r="N9" s="154"/>
      <c r="O9" s="154"/>
      <c r="P9" s="154"/>
      <c r="Q9" s="154"/>
      <c r="R9" s="154"/>
      <c r="S9" s="154"/>
      <c r="T9" s="154"/>
      <c r="U9" s="154"/>
      <c r="V9" s="154"/>
      <c r="W9" s="154"/>
      <c r="X9" s="154"/>
      <c r="Y9" s="154"/>
      <c r="Z9" s="154"/>
    </row>
    <row r="10">
      <c r="A10" s="180"/>
      <c r="B10" s="230"/>
      <c r="C10" s="223"/>
      <c r="D10" s="224">
        <v>86.0</v>
      </c>
      <c r="E10" s="225">
        <f t="shared" si="1"/>
        <v>0</v>
      </c>
      <c r="F10" s="226">
        <f>E10*'Drylot Lamb Finishing Budget'!$G$23</f>
        <v>0</v>
      </c>
      <c r="G10" s="227">
        <f>'Drylot Lamb Finishing Budget'!$G$23*C10</f>
        <v>0</v>
      </c>
      <c r="H10" s="228"/>
      <c r="I10" s="184" t="s">
        <v>385</v>
      </c>
      <c r="J10" s="229">
        <f t="shared" si="2"/>
        <v>0</v>
      </c>
      <c r="K10" s="154"/>
      <c r="L10" s="154"/>
      <c r="M10" s="154"/>
      <c r="N10" s="154"/>
      <c r="O10" s="154"/>
      <c r="P10" s="154"/>
      <c r="Q10" s="154"/>
      <c r="R10" s="154"/>
      <c r="S10" s="154"/>
      <c r="T10" s="154"/>
      <c r="U10" s="154"/>
      <c r="V10" s="154"/>
      <c r="W10" s="154"/>
      <c r="X10" s="154"/>
      <c r="Y10" s="154"/>
      <c r="Z10" s="154"/>
    </row>
    <row r="11">
      <c r="A11" s="180"/>
      <c r="B11" s="230"/>
      <c r="C11" s="223"/>
      <c r="D11" s="224">
        <v>92.0</v>
      </c>
      <c r="E11" s="225">
        <f t="shared" si="1"/>
        <v>0</v>
      </c>
      <c r="F11" s="226">
        <f>E11*'Drylot Lamb Finishing Budget'!$G$23</f>
        <v>0</v>
      </c>
      <c r="G11" s="227">
        <f>'Drylot Lamb Finishing Budget'!$G$23*C11</f>
        <v>0</v>
      </c>
      <c r="H11" s="228">
        <v>131.0</v>
      </c>
      <c r="I11" s="184" t="s">
        <v>385</v>
      </c>
      <c r="J11" s="229">
        <f t="shared" si="2"/>
        <v>0</v>
      </c>
      <c r="K11" s="154"/>
      <c r="L11" s="154"/>
      <c r="M11" s="154"/>
      <c r="N11" s="154"/>
      <c r="O11" s="154"/>
      <c r="P11" s="154"/>
      <c r="Q11" s="154"/>
      <c r="R11" s="154"/>
      <c r="S11" s="154"/>
      <c r="T11" s="154"/>
      <c r="U11" s="154"/>
      <c r="V11" s="154"/>
      <c r="W11" s="154"/>
      <c r="X11" s="154"/>
      <c r="Y11" s="154"/>
      <c r="Z11" s="154"/>
    </row>
    <row r="12">
      <c r="A12" s="180"/>
      <c r="B12" s="230" t="s">
        <v>386</v>
      </c>
      <c r="C12" s="223">
        <v>0.55</v>
      </c>
      <c r="D12" s="224">
        <v>92.0</v>
      </c>
      <c r="E12" s="225">
        <f t="shared" si="1"/>
        <v>0.506</v>
      </c>
      <c r="F12" s="226">
        <f>E12*'Drylot Lamb Finishing Budget'!$G$23</f>
        <v>62.238</v>
      </c>
      <c r="G12" s="227">
        <f>'Drylot Lamb Finishing Budget'!$G$23*C12</f>
        <v>67.65</v>
      </c>
      <c r="H12" s="228">
        <v>936.0</v>
      </c>
      <c r="I12" s="184" t="s">
        <v>385</v>
      </c>
      <c r="J12" s="229">
        <f t="shared" ref="J12:J14" si="3">G12*H12/2000</f>
        <v>31.6602</v>
      </c>
      <c r="K12" s="154"/>
      <c r="L12" s="154"/>
      <c r="M12" s="154"/>
      <c r="N12" s="154"/>
      <c r="O12" s="154"/>
      <c r="P12" s="154"/>
      <c r="Q12" s="154"/>
      <c r="R12" s="154"/>
      <c r="S12" s="154"/>
      <c r="T12" s="154"/>
      <c r="U12" s="154"/>
      <c r="V12" s="154"/>
      <c r="W12" s="154"/>
      <c r="X12" s="154"/>
      <c r="Y12" s="154"/>
      <c r="Z12" s="154"/>
    </row>
    <row r="13">
      <c r="A13" s="180"/>
      <c r="B13" s="230"/>
      <c r="C13" s="223"/>
      <c r="D13" s="224">
        <v>92.0</v>
      </c>
      <c r="E13" s="225">
        <f t="shared" si="1"/>
        <v>0</v>
      </c>
      <c r="F13" s="226">
        <f>E13*'Drylot Lamb Finishing Budget'!$G$23</f>
        <v>0</v>
      </c>
      <c r="G13" s="227">
        <f>'Drylot Lamb Finishing Budget'!$G$23*C13</f>
        <v>0</v>
      </c>
      <c r="H13" s="228"/>
      <c r="I13" s="184" t="s">
        <v>385</v>
      </c>
      <c r="J13" s="229">
        <f t="shared" si="3"/>
        <v>0</v>
      </c>
      <c r="K13" s="154"/>
      <c r="L13" s="154"/>
      <c r="M13" s="154"/>
      <c r="N13" s="154"/>
      <c r="O13" s="154"/>
      <c r="P13" s="154"/>
      <c r="Q13" s="154"/>
      <c r="R13" s="154"/>
      <c r="S13" s="154"/>
      <c r="T13" s="154"/>
      <c r="U13" s="154"/>
      <c r="V13" s="154"/>
      <c r="W13" s="154"/>
      <c r="X13" s="154"/>
      <c r="Y13" s="154"/>
      <c r="Z13" s="154"/>
    </row>
    <row r="14">
      <c r="A14" s="180"/>
      <c r="B14" s="230" t="s">
        <v>387</v>
      </c>
      <c r="C14" s="223">
        <v>1.0</v>
      </c>
      <c r="D14" s="224">
        <v>87.0</v>
      </c>
      <c r="E14" s="225">
        <f t="shared" si="1"/>
        <v>0.87</v>
      </c>
      <c r="F14" s="226">
        <f>E14*'Drylot Lamb Finishing Budget'!$G$23</f>
        <v>107.01</v>
      </c>
      <c r="G14" s="227">
        <f>'Drylot Lamb Finishing Budget'!$G$23*C14</f>
        <v>123</v>
      </c>
      <c r="H14" s="228">
        <v>135.0</v>
      </c>
      <c r="I14" s="184" t="s">
        <v>385</v>
      </c>
      <c r="J14" s="229">
        <f t="shared" si="3"/>
        <v>8.3025</v>
      </c>
      <c r="K14" s="154"/>
      <c r="L14" s="154"/>
      <c r="M14" s="154"/>
      <c r="N14" s="154"/>
      <c r="O14" s="154"/>
      <c r="P14" s="154"/>
      <c r="Q14" s="154"/>
      <c r="R14" s="154"/>
      <c r="S14" s="154"/>
      <c r="T14" s="154"/>
      <c r="U14" s="154"/>
      <c r="V14" s="154"/>
      <c r="W14" s="154"/>
      <c r="X14" s="154"/>
      <c r="Y14" s="154"/>
      <c r="Z14" s="154"/>
    </row>
    <row r="15">
      <c r="A15" s="180"/>
      <c r="B15" s="230" t="s">
        <v>388</v>
      </c>
      <c r="C15" s="223"/>
      <c r="D15" s="224">
        <v>38.0</v>
      </c>
      <c r="E15" s="225">
        <f t="shared" si="1"/>
        <v>0</v>
      </c>
      <c r="F15" s="226">
        <f>E15*'Drylot Lamb Finishing Budget'!$G$23</f>
        <v>0</v>
      </c>
      <c r="G15" s="227">
        <f>'Drylot Lamb Finishing Budget'!$G$23*C15</f>
        <v>0</v>
      </c>
      <c r="H15" s="228"/>
      <c r="I15" s="184" t="s">
        <v>385</v>
      </c>
      <c r="J15" s="229">
        <f>G15*(H15/2000)</f>
        <v>0</v>
      </c>
      <c r="K15" s="154"/>
      <c r="L15" s="154"/>
      <c r="M15" s="154"/>
      <c r="N15" s="154"/>
      <c r="O15" s="154"/>
      <c r="P15" s="154"/>
      <c r="Q15" s="154"/>
      <c r="R15" s="154"/>
      <c r="S15" s="154"/>
      <c r="T15" s="154"/>
      <c r="U15" s="154"/>
      <c r="V15" s="154"/>
      <c r="W15" s="154"/>
      <c r="X15" s="154"/>
      <c r="Y15" s="154"/>
      <c r="Z15" s="154"/>
    </row>
    <row r="16">
      <c r="A16" s="180"/>
      <c r="B16" s="231" t="s">
        <v>389</v>
      </c>
      <c r="C16" s="223">
        <v>0.25</v>
      </c>
      <c r="D16" s="224">
        <v>98.0</v>
      </c>
      <c r="E16" s="232">
        <f t="shared" ref="E16:E17" si="4">(C16*(D16/100))/16</f>
        <v>0.0153125</v>
      </c>
      <c r="F16" s="233">
        <f>E16*'Drylot Lamb Finishing Budget'!$G$23</f>
        <v>1.8834375</v>
      </c>
      <c r="G16" s="234">
        <f>('Drylot Lamb Finishing Budget'!$G$23*C16)/16</f>
        <v>1.921875</v>
      </c>
      <c r="H16" s="228">
        <v>30.0</v>
      </c>
      <c r="I16" s="184" t="s">
        <v>390</v>
      </c>
      <c r="J16" s="229">
        <f t="shared" ref="J16:J17" si="5">G16*(H16/50)</f>
        <v>1.153125</v>
      </c>
      <c r="K16" s="154"/>
      <c r="L16" s="154"/>
      <c r="M16" s="154"/>
      <c r="N16" s="154"/>
      <c r="O16" s="154"/>
      <c r="P16" s="154"/>
      <c r="Q16" s="154"/>
      <c r="R16" s="154"/>
      <c r="S16" s="154"/>
      <c r="T16" s="154"/>
      <c r="U16" s="154"/>
      <c r="V16" s="154"/>
      <c r="W16" s="154"/>
      <c r="X16" s="154"/>
      <c r="Y16" s="154"/>
      <c r="Z16" s="154"/>
    </row>
    <row r="17">
      <c r="A17" s="180"/>
      <c r="B17" s="231" t="s">
        <v>391</v>
      </c>
      <c r="C17" s="223">
        <v>0.27</v>
      </c>
      <c r="D17" s="224">
        <v>98.0</v>
      </c>
      <c r="E17" s="232">
        <f t="shared" si="4"/>
        <v>0.0165375</v>
      </c>
      <c r="F17" s="233">
        <f>E17*'Drylot Lamb Finishing Budget'!$G$23</f>
        <v>2.0341125</v>
      </c>
      <c r="G17" s="234">
        <f>('Drylot Lamb Finishing Budget'!$G$23*C17)/16</f>
        <v>2.075625</v>
      </c>
      <c r="H17" s="228">
        <v>8.0</v>
      </c>
      <c r="I17" s="184" t="s">
        <v>390</v>
      </c>
      <c r="J17" s="229">
        <f t="shared" si="5"/>
        <v>0.3321</v>
      </c>
      <c r="K17" s="154"/>
      <c r="L17" s="154"/>
      <c r="M17" s="154"/>
      <c r="N17" s="154"/>
      <c r="O17" s="154"/>
      <c r="P17" s="154"/>
      <c r="Q17" s="154"/>
      <c r="R17" s="154"/>
      <c r="S17" s="154"/>
      <c r="T17" s="154"/>
      <c r="U17" s="154"/>
      <c r="V17" s="154"/>
      <c r="W17" s="154"/>
      <c r="X17" s="154"/>
      <c r="Y17" s="154"/>
      <c r="Z17" s="154"/>
    </row>
    <row r="18">
      <c r="A18" s="180"/>
      <c r="B18" s="175" t="s">
        <v>184</v>
      </c>
      <c r="C18" s="235">
        <f>SUM(C8:C15)+((C16+C17)/16)</f>
        <v>4.3325</v>
      </c>
      <c r="D18" s="175"/>
      <c r="E18" s="236">
        <f t="shared" ref="E18:G18" si="6">SUM(E8:E17)</f>
        <v>3.77285</v>
      </c>
      <c r="F18" s="201">
        <f t="shared" si="6"/>
        <v>464.06055</v>
      </c>
      <c r="G18" s="201">
        <f t="shared" si="6"/>
        <v>532.8975</v>
      </c>
      <c r="H18" s="175" t="s">
        <v>392</v>
      </c>
      <c r="I18" s="175"/>
      <c r="J18" s="237">
        <f>SUM(J8:J17)</f>
        <v>83.729175</v>
      </c>
      <c r="K18" s="154"/>
      <c r="L18" s="154"/>
      <c r="M18" s="154"/>
      <c r="N18" s="154"/>
      <c r="O18" s="154"/>
      <c r="P18" s="154"/>
      <c r="Q18" s="154"/>
      <c r="R18" s="154"/>
      <c r="S18" s="154"/>
      <c r="T18" s="154"/>
      <c r="U18" s="154"/>
      <c r="V18" s="154"/>
      <c r="W18" s="154"/>
      <c r="X18" s="154"/>
      <c r="Y18" s="154"/>
      <c r="Z18" s="154"/>
    </row>
    <row r="19">
      <c r="A19" s="180"/>
      <c r="B19" s="175"/>
      <c r="C19" s="175" t="s">
        <v>393</v>
      </c>
      <c r="D19" s="175"/>
      <c r="E19" s="235">
        <f>E18/'Drylot Lamb Finishing Budget'!G24</f>
        <v>4.6406055</v>
      </c>
      <c r="F19" s="175"/>
      <c r="G19" s="175" t="s">
        <v>320</v>
      </c>
      <c r="H19" s="154"/>
      <c r="I19" s="175"/>
      <c r="J19" s="237">
        <f>J18/'Drylot Lamb Finishing Budget'!G23</f>
        <v>0.680725</v>
      </c>
      <c r="K19" s="154"/>
      <c r="L19" s="154"/>
      <c r="M19" s="154"/>
      <c r="N19" s="154"/>
      <c r="O19" s="154"/>
      <c r="P19" s="154"/>
      <c r="Q19" s="154"/>
      <c r="R19" s="154"/>
      <c r="S19" s="154"/>
      <c r="T19" s="154"/>
      <c r="U19" s="154"/>
      <c r="V19" s="154"/>
      <c r="W19" s="154"/>
      <c r="X19" s="154"/>
      <c r="Y19" s="154"/>
      <c r="Z19" s="154"/>
    </row>
    <row r="20">
      <c r="A20" s="180"/>
      <c r="B20" s="175"/>
      <c r="C20" s="175"/>
      <c r="D20" s="175"/>
      <c r="E20" s="175"/>
      <c r="F20" s="175"/>
      <c r="G20" s="175" t="s">
        <v>322</v>
      </c>
      <c r="H20" s="154"/>
      <c r="I20" s="175"/>
      <c r="J20" s="237">
        <f>J18/('Drylot Lamb Finishing Budget'!C11-'Drylot Lamb Finishing Budget'!C19)</f>
        <v>0.83729175</v>
      </c>
      <c r="K20" s="154"/>
      <c r="L20" s="154"/>
      <c r="M20" s="154"/>
      <c r="N20" s="154"/>
      <c r="O20" s="154"/>
      <c r="P20" s="154"/>
      <c r="Q20" s="154"/>
      <c r="R20" s="154"/>
      <c r="S20" s="154"/>
      <c r="T20" s="154"/>
      <c r="U20" s="154"/>
      <c r="V20" s="154"/>
      <c r="W20" s="154"/>
      <c r="X20" s="154"/>
      <c r="Y20" s="154"/>
      <c r="Z20" s="154"/>
    </row>
    <row r="21" ht="15.75" customHeight="1">
      <c r="A21" s="180"/>
      <c r="B21" s="180"/>
      <c r="C21" s="180"/>
      <c r="D21" s="180"/>
      <c r="E21" s="180"/>
      <c r="F21" s="180"/>
      <c r="G21" s="175" t="s">
        <v>394</v>
      </c>
      <c r="H21" s="154"/>
      <c r="I21" s="180"/>
      <c r="J21" s="238">
        <f>J18/G18</f>
        <v>0.1571206001</v>
      </c>
      <c r="K21" s="154"/>
      <c r="L21" s="154"/>
      <c r="M21" s="154"/>
      <c r="N21" s="154"/>
      <c r="O21" s="154"/>
      <c r="P21" s="154"/>
      <c r="Q21" s="154"/>
      <c r="R21" s="154"/>
      <c r="S21" s="154"/>
      <c r="T21" s="154"/>
      <c r="U21" s="154"/>
      <c r="V21" s="154"/>
      <c r="W21" s="154"/>
      <c r="X21" s="154"/>
      <c r="Y21" s="154"/>
      <c r="Z21" s="154"/>
    </row>
    <row r="22" ht="15.75" customHeight="1">
      <c r="A22" s="153"/>
      <c r="B22" s="153"/>
      <c r="C22" s="153"/>
      <c r="D22" s="153"/>
      <c r="E22" s="153"/>
      <c r="F22" s="153"/>
      <c r="G22" s="152" t="s">
        <v>395</v>
      </c>
      <c r="I22" s="153"/>
      <c r="J22" s="206">
        <f>J18/F18</f>
        <v>0.1804272632</v>
      </c>
      <c r="L22" s="153"/>
      <c r="M22" s="153"/>
    </row>
    <row r="23" ht="15.75" customHeight="1">
      <c r="B23" s="239" t="s">
        <v>396</v>
      </c>
    </row>
    <row r="24" ht="15.75" customHeight="1">
      <c r="B24" s="240" t="s">
        <v>397</v>
      </c>
      <c r="C24" s="241">
        <v>18.0</v>
      </c>
    </row>
    <row r="25" ht="15.75" customHeight="1">
      <c r="B25" s="240" t="s">
        <v>398</v>
      </c>
      <c r="C25" s="242">
        <v>50.0</v>
      </c>
      <c r="E25" s="243" t="s">
        <v>399</v>
      </c>
      <c r="F25" s="244"/>
      <c r="G25" s="244"/>
      <c r="H25" s="244"/>
    </row>
    <row r="26" ht="15.75" customHeight="1">
      <c r="B26" s="240" t="s">
        <v>385</v>
      </c>
      <c r="C26" s="245">
        <f>(C24/C25)*2000</f>
        <v>720</v>
      </c>
      <c r="E26" s="243" t="s">
        <v>383</v>
      </c>
      <c r="F26" s="244" t="s">
        <v>400</v>
      </c>
      <c r="G26" s="244"/>
      <c r="H26" s="244"/>
    </row>
    <row r="27" ht="15.75" customHeight="1">
      <c r="B27" s="246" t="s">
        <v>401</v>
      </c>
      <c r="E27" s="243" t="s">
        <v>115</v>
      </c>
      <c r="F27" s="244" t="s">
        <v>402</v>
      </c>
      <c r="G27" s="244"/>
      <c r="H27" s="244"/>
    </row>
    <row r="28" ht="15.75" customHeight="1">
      <c r="B28" s="240" t="s">
        <v>403</v>
      </c>
      <c r="C28" s="241">
        <v>7.5</v>
      </c>
      <c r="E28" s="243" t="s">
        <v>404</v>
      </c>
      <c r="F28" s="244" t="s">
        <v>405</v>
      </c>
      <c r="G28" s="244"/>
      <c r="H28" s="244"/>
    </row>
    <row r="29" ht="15.75" customHeight="1">
      <c r="B29" s="240" t="s">
        <v>406</v>
      </c>
      <c r="C29" s="242">
        <v>56.0</v>
      </c>
      <c r="E29" s="243" t="s">
        <v>407</v>
      </c>
      <c r="F29" s="244" t="s">
        <v>408</v>
      </c>
      <c r="G29" s="244"/>
      <c r="H29" s="244"/>
    </row>
    <row r="30" ht="15.75" customHeight="1">
      <c r="B30" s="240" t="s">
        <v>385</v>
      </c>
      <c r="C30" s="245">
        <f>(C28/C29)*2000</f>
        <v>267.8571429</v>
      </c>
      <c r="E30" s="244"/>
      <c r="F30" s="244"/>
      <c r="G30" s="244"/>
      <c r="H30" s="244"/>
    </row>
    <row r="31" ht="15.75" customHeight="1">
      <c r="E31" s="244"/>
      <c r="F31" s="244"/>
      <c r="G31" s="244"/>
      <c r="H31" s="244"/>
    </row>
    <row r="32" ht="15.75" customHeight="1"/>
    <row r="33" ht="15.75" customHeight="1">
      <c r="B33" s="240" t="s">
        <v>409</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6">
      <c r="B6" s="152" t="s">
        <v>410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FF99"/>
    <pageSetUpPr fitToPage="1"/>
  </sheetPr>
  <sheetViews>
    <sheetView workbookViewId="0"/>
  </sheetViews>
  <sheetFormatPr customHeight="1" defaultColWidth="14.43" defaultRowHeight="15.0"/>
  <cols>
    <col customWidth="1" min="1" max="1" width="3.57"/>
    <col customWidth="1" min="2" max="2" width="30.57"/>
    <col customWidth="1" min="3" max="3" width="14.86"/>
    <col customWidth="1" min="4" max="4" width="6.86"/>
    <col customWidth="1" min="5" max="5" width="14.0"/>
    <col customWidth="1" min="6" max="6" width="6.71"/>
    <col customWidth="1" min="7" max="7" width="12.86"/>
    <col customWidth="1" min="8" max="8" width="6.57"/>
    <col customWidth="1" min="9" max="9" width="12.43"/>
    <col customWidth="1" min="10" max="10" width="14.57"/>
    <col customWidth="1" min="11" max="11" width="10.43"/>
    <col customWidth="1" min="12" max="13" width="11.57"/>
    <col customWidth="1" min="14" max="19" width="9.14"/>
    <col customWidth="1" min="20" max="26" width="8.71"/>
  </cols>
  <sheetData>
    <row r="1" ht="15.75" customHeight="1">
      <c r="A1" s="153"/>
      <c r="B1" s="153"/>
      <c r="C1" s="153"/>
      <c r="D1" s="153"/>
      <c r="E1" s="153"/>
      <c r="F1" s="153"/>
      <c r="G1" s="153"/>
      <c r="H1" s="153"/>
      <c r="I1" s="153"/>
      <c r="J1" s="153"/>
      <c r="K1" s="153"/>
      <c r="L1" s="153"/>
      <c r="M1" s="153"/>
      <c r="N1" s="153"/>
      <c r="O1" s="153"/>
      <c r="P1" s="153"/>
      <c r="Q1" s="153"/>
      <c r="R1" s="153"/>
      <c r="S1" s="153"/>
      <c r="T1" s="153"/>
      <c r="U1" s="153"/>
      <c r="V1" s="153"/>
      <c r="W1" s="153"/>
      <c r="X1" s="153"/>
      <c r="Y1" s="153"/>
      <c r="Z1" s="153"/>
    </row>
    <row r="2" ht="15.75" customHeight="1">
      <c r="A2" s="153"/>
      <c r="B2" s="153"/>
      <c r="C2" s="153"/>
      <c r="D2" s="153"/>
      <c r="E2" s="153"/>
      <c r="F2" s="153"/>
      <c r="G2" s="153"/>
      <c r="H2" s="153"/>
      <c r="I2" s="153"/>
      <c r="J2" s="153"/>
      <c r="K2" s="153"/>
      <c r="L2" s="153"/>
      <c r="M2" s="153"/>
      <c r="N2" s="153"/>
      <c r="O2" s="153"/>
      <c r="P2" s="153"/>
      <c r="Q2" s="153"/>
      <c r="R2" s="153"/>
      <c r="S2" s="153"/>
      <c r="T2" s="153"/>
      <c r="U2" s="153"/>
      <c r="V2" s="153"/>
      <c r="W2" s="153"/>
      <c r="X2" s="153"/>
      <c r="Y2" s="153"/>
      <c r="Z2" s="153"/>
    </row>
    <row r="3" ht="15.75" customHeight="1">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row>
    <row r="4" ht="15.75"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row>
    <row r="5" ht="18.75" customHeight="1">
      <c r="A5" s="152" t="s">
        <v>284</v>
      </c>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ht="15.75" customHeight="1">
      <c r="A6" s="154"/>
      <c r="B6" s="154"/>
      <c r="C6" s="154" t="s">
        <v>411</v>
      </c>
      <c r="D6" s="154"/>
      <c r="E6" s="154"/>
      <c r="F6" s="154"/>
      <c r="G6" s="154"/>
      <c r="H6" s="154"/>
      <c r="I6" s="154"/>
      <c r="J6" s="154"/>
      <c r="K6" s="154"/>
      <c r="L6" s="154"/>
      <c r="M6" s="154"/>
      <c r="N6" s="154"/>
      <c r="O6" s="154"/>
      <c r="P6" s="154"/>
      <c r="Q6" s="154"/>
      <c r="R6" s="154"/>
      <c r="S6" s="154"/>
      <c r="T6" s="154"/>
      <c r="U6" s="154"/>
      <c r="V6" s="154"/>
      <c r="W6" s="154"/>
      <c r="X6" s="154"/>
      <c r="Y6" s="154"/>
      <c r="Z6" s="154"/>
    </row>
    <row r="7" ht="15.75" customHeight="1">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row>
    <row r="8" ht="15.75" customHeight="1">
      <c r="A8" s="152" t="s">
        <v>286</v>
      </c>
      <c r="B8" s="154"/>
      <c r="C8" s="155"/>
      <c r="D8" s="156"/>
      <c r="E8" s="157"/>
      <c r="F8" s="154"/>
      <c r="G8" s="154"/>
      <c r="H8" s="154"/>
      <c r="I8" s="154"/>
      <c r="J8" s="154"/>
      <c r="K8" s="154"/>
      <c r="L8" s="154"/>
      <c r="M8" s="154"/>
      <c r="N8" s="154"/>
      <c r="O8" s="154"/>
      <c r="P8" s="154"/>
      <c r="Q8" s="154"/>
      <c r="R8" s="154"/>
      <c r="S8" s="154"/>
      <c r="T8" s="154"/>
      <c r="U8" s="154"/>
      <c r="V8" s="154"/>
      <c r="W8" s="154"/>
      <c r="X8" s="154"/>
      <c r="Y8" s="154"/>
      <c r="Z8" s="154"/>
    </row>
    <row r="9" ht="15.75" customHeight="1">
      <c r="A9" s="158" t="s">
        <v>287</v>
      </c>
      <c r="B9" s="159"/>
      <c r="C9" s="159"/>
      <c r="D9" s="159"/>
      <c r="E9" s="159"/>
      <c r="F9" s="159"/>
      <c r="G9" s="159"/>
      <c r="H9" s="159"/>
      <c r="I9" s="159"/>
      <c r="J9" s="159"/>
      <c r="K9" s="154"/>
      <c r="L9" s="154"/>
      <c r="M9" s="154"/>
      <c r="N9" s="154"/>
      <c r="O9" s="154"/>
      <c r="P9" s="154"/>
      <c r="Q9" s="154"/>
      <c r="R9" s="154"/>
      <c r="S9" s="154"/>
      <c r="T9" s="154"/>
      <c r="U9" s="154"/>
      <c r="V9" s="154"/>
      <c r="W9" s="154"/>
      <c r="X9" s="154"/>
      <c r="Y9" s="154"/>
      <c r="Z9" s="154"/>
    </row>
    <row r="10" ht="15.75" customHeight="1">
      <c r="A10" s="154"/>
      <c r="B10" s="154"/>
      <c r="C10" s="154"/>
      <c r="D10" s="154"/>
      <c r="E10" s="152" t="s">
        <v>288</v>
      </c>
      <c r="F10" s="154"/>
      <c r="G10" s="160">
        <v>44805.0</v>
      </c>
      <c r="H10" s="154"/>
      <c r="I10" s="154"/>
      <c r="J10" s="154"/>
      <c r="K10" s="154"/>
      <c r="L10" s="154"/>
      <c r="M10" s="154"/>
      <c r="N10" s="154"/>
      <c r="O10" s="154"/>
      <c r="P10" s="154"/>
      <c r="Q10" s="154"/>
      <c r="R10" s="154"/>
      <c r="S10" s="154"/>
      <c r="T10" s="154"/>
      <c r="U10" s="154"/>
      <c r="V10" s="154"/>
      <c r="W10" s="154"/>
      <c r="X10" s="154"/>
      <c r="Y10" s="154"/>
      <c r="Z10" s="154"/>
    </row>
    <row r="11" ht="15.75" customHeight="1">
      <c r="A11" s="161"/>
      <c r="B11" s="162" t="s">
        <v>289</v>
      </c>
      <c r="C11" s="162"/>
      <c r="D11" s="162"/>
      <c r="E11" s="163" t="s">
        <v>290</v>
      </c>
      <c r="F11" s="162"/>
      <c r="G11" s="163" t="s">
        <v>291</v>
      </c>
      <c r="H11" s="162"/>
      <c r="I11" s="163" t="s">
        <v>292</v>
      </c>
      <c r="J11" s="162" t="s">
        <v>293</v>
      </c>
      <c r="K11" s="161"/>
      <c r="L11" s="161"/>
      <c r="M11" s="161"/>
      <c r="N11" s="161"/>
      <c r="O11" s="161"/>
      <c r="P11" s="161"/>
      <c r="Q11" s="161"/>
      <c r="R11" s="161"/>
      <c r="S11" s="161"/>
      <c r="T11" s="161"/>
      <c r="U11" s="161"/>
      <c r="V11" s="161"/>
      <c r="W11" s="161"/>
      <c r="X11" s="161"/>
      <c r="Y11" s="161"/>
      <c r="Z11" s="161"/>
    </row>
    <row r="12" ht="15.75" customHeight="1">
      <c r="A12" s="152"/>
      <c r="B12" s="152" t="s">
        <v>294</v>
      </c>
      <c r="C12" s="164">
        <v>150.0</v>
      </c>
      <c r="D12" s="152" t="s">
        <v>295</v>
      </c>
      <c r="E12" s="165">
        <v>2.22</v>
      </c>
      <c r="F12" s="152" t="s">
        <v>296</v>
      </c>
      <c r="G12" s="166">
        <f t="shared" ref="G12:G13" si="1">C12*E12</f>
        <v>333</v>
      </c>
      <c r="H12" s="152"/>
      <c r="I12" s="167">
        <f>I19</f>
        <v>75</v>
      </c>
      <c r="J12" s="166">
        <f>I12*G12</f>
        <v>24975</v>
      </c>
      <c r="K12" s="152"/>
      <c r="L12" s="152"/>
      <c r="M12" s="152"/>
      <c r="N12" s="152"/>
      <c r="O12" s="152"/>
      <c r="P12" s="152"/>
      <c r="Q12" s="152"/>
      <c r="R12" s="152"/>
      <c r="S12" s="152"/>
      <c r="T12" s="152"/>
      <c r="U12" s="152"/>
      <c r="V12" s="152"/>
      <c r="W12" s="152"/>
      <c r="X12" s="152"/>
      <c r="Y12" s="152"/>
      <c r="Z12" s="152"/>
    </row>
    <row r="13" ht="15.75" customHeight="1">
      <c r="A13" s="154"/>
      <c r="B13" s="152" t="s">
        <v>297</v>
      </c>
      <c r="C13" s="164">
        <v>3.0</v>
      </c>
      <c r="D13" s="152" t="s">
        <v>295</v>
      </c>
      <c r="E13" s="165">
        <v>0.03</v>
      </c>
      <c r="F13" s="152" t="s">
        <v>296</v>
      </c>
      <c r="G13" s="166">
        <f t="shared" si="1"/>
        <v>0.09</v>
      </c>
      <c r="H13" s="154"/>
      <c r="I13" s="154"/>
      <c r="J13" s="166">
        <f>G13*I12</f>
        <v>6.75</v>
      </c>
      <c r="K13" s="154"/>
      <c r="L13" s="154"/>
      <c r="M13" s="154"/>
      <c r="N13" s="154"/>
      <c r="O13" s="154"/>
      <c r="P13" s="154"/>
      <c r="Q13" s="154"/>
      <c r="R13" s="154"/>
      <c r="S13" s="154"/>
      <c r="T13" s="154"/>
      <c r="U13" s="154"/>
      <c r="V13" s="154"/>
      <c r="W13" s="154"/>
      <c r="X13" s="154"/>
      <c r="Y13" s="154"/>
      <c r="Z13" s="154"/>
    </row>
    <row r="14" ht="15.75" customHeight="1">
      <c r="A14" s="154"/>
      <c r="B14" s="152"/>
      <c r="C14" s="152"/>
      <c r="D14" s="152"/>
      <c r="E14" s="168"/>
      <c r="F14" s="152"/>
      <c r="G14" s="168"/>
      <c r="H14" s="154"/>
      <c r="I14" s="154"/>
      <c r="J14" s="168"/>
      <c r="K14" s="154"/>
      <c r="L14" s="154"/>
      <c r="M14" s="154"/>
      <c r="N14" s="154"/>
      <c r="O14" s="154"/>
      <c r="P14" s="154"/>
      <c r="Q14" s="154"/>
      <c r="R14" s="154"/>
      <c r="S14" s="154"/>
      <c r="T14" s="154"/>
      <c r="U14" s="154"/>
      <c r="V14" s="154"/>
      <c r="W14" s="154"/>
      <c r="X14" s="154"/>
      <c r="Y14" s="154"/>
      <c r="Z14" s="154"/>
    </row>
    <row r="15" ht="15.75" customHeight="1">
      <c r="A15" s="158" t="s">
        <v>300</v>
      </c>
      <c r="B15" s="159"/>
      <c r="C15" s="159"/>
      <c r="D15" s="159"/>
      <c r="E15" s="159"/>
      <c r="F15" s="159"/>
      <c r="G15" s="159"/>
      <c r="H15" s="159"/>
      <c r="I15" s="159"/>
      <c r="J15" s="159"/>
      <c r="K15" s="154"/>
      <c r="L15" s="154"/>
      <c r="M15" s="154"/>
      <c r="N15" s="154"/>
      <c r="O15" s="154"/>
      <c r="P15" s="154"/>
      <c r="Q15" s="154"/>
      <c r="R15" s="154"/>
      <c r="S15" s="154"/>
      <c r="T15" s="154"/>
      <c r="U15" s="154"/>
      <c r="V15" s="154"/>
      <c r="W15" s="154"/>
      <c r="X15" s="154"/>
      <c r="Y15" s="154"/>
      <c r="Z15" s="154"/>
    </row>
    <row r="16" ht="15.75" customHeight="1">
      <c r="A16" s="169"/>
      <c r="B16" s="170" t="s">
        <v>301</v>
      </c>
      <c r="C16" s="170"/>
      <c r="D16" s="170"/>
      <c r="E16" s="170"/>
      <c r="F16" s="170"/>
      <c r="G16" s="170"/>
      <c r="H16" s="154"/>
      <c r="I16" s="154"/>
      <c r="J16" s="154"/>
      <c r="K16" s="154"/>
      <c r="L16" s="154"/>
      <c r="M16" s="154"/>
      <c r="N16" s="154"/>
      <c r="O16" s="154"/>
      <c r="P16" s="154"/>
      <c r="Q16" s="154"/>
      <c r="R16" s="154"/>
      <c r="S16" s="154"/>
      <c r="T16" s="154"/>
      <c r="U16" s="154"/>
      <c r="V16" s="154"/>
      <c r="W16" s="154"/>
      <c r="X16" s="154"/>
      <c r="Y16" s="154"/>
      <c r="Z16" s="154"/>
    </row>
    <row r="17" ht="15.75" customHeight="1">
      <c r="A17" s="169"/>
      <c r="B17" s="154"/>
      <c r="C17" s="152" t="s">
        <v>302</v>
      </c>
      <c r="D17" s="154"/>
      <c r="E17" s="154"/>
      <c r="F17" s="154"/>
      <c r="G17" s="160">
        <v>44682.0</v>
      </c>
      <c r="H17" s="154"/>
      <c r="I17" s="154"/>
      <c r="J17" s="154"/>
      <c r="K17" s="154"/>
      <c r="L17" s="154"/>
      <c r="M17" s="154"/>
      <c r="N17" s="154"/>
      <c r="O17" s="154"/>
      <c r="P17" s="154"/>
      <c r="Q17" s="154"/>
      <c r="R17" s="154"/>
      <c r="S17" s="154"/>
      <c r="T17" s="154"/>
      <c r="U17" s="154"/>
      <c r="V17" s="154"/>
      <c r="W17" s="154"/>
      <c r="X17" s="154"/>
      <c r="Y17" s="154"/>
      <c r="Z17" s="154"/>
    </row>
    <row r="18" ht="15.75" customHeight="1">
      <c r="A18" s="161"/>
      <c r="B18" s="152" t="s">
        <v>303</v>
      </c>
      <c r="C18" s="162"/>
      <c r="D18" s="161"/>
      <c r="E18" s="162" t="s">
        <v>304</v>
      </c>
      <c r="F18" s="161"/>
      <c r="G18" s="162" t="s">
        <v>305</v>
      </c>
      <c r="H18" s="161"/>
      <c r="I18" s="162" t="s">
        <v>306</v>
      </c>
      <c r="J18" s="162" t="s">
        <v>307</v>
      </c>
      <c r="K18" s="161"/>
      <c r="L18" s="161"/>
      <c r="M18" s="161"/>
      <c r="N18" s="161"/>
      <c r="O18" s="161"/>
      <c r="P18" s="161"/>
      <c r="Q18" s="161"/>
      <c r="R18" s="161"/>
      <c r="S18" s="161"/>
      <c r="T18" s="161"/>
      <c r="U18" s="161"/>
      <c r="V18" s="161"/>
      <c r="W18" s="161"/>
      <c r="X18" s="161"/>
      <c r="Y18" s="161"/>
      <c r="Z18" s="161"/>
    </row>
    <row r="19" ht="15.75" customHeight="1">
      <c r="A19" s="152"/>
      <c r="B19" s="152" t="s">
        <v>308</v>
      </c>
      <c r="C19" s="164">
        <v>50.0</v>
      </c>
      <c r="D19" s="152" t="s">
        <v>295</v>
      </c>
      <c r="E19" s="165">
        <v>3.0</v>
      </c>
      <c r="F19" s="152" t="s">
        <v>296</v>
      </c>
      <c r="G19" s="166">
        <f>C19*E19</f>
        <v>150</v>
      </c>
      <c r="H19" s="154"/>
      <c r="I19" s="164">
        <v>75.0</v>
      </c>
      <c r="J19" s="166">
        <f>I19*G19</f>
        <v>11250</v>
      </c>
      <c r="K19" s="154"/>
      <c r="L19" s="154"/>
      <c r="M19" s="154"/>
      <c r="N19" s="154"/>
      <c r="O19" s="154"/>
      <c r="P19" s="154"/>
      <c r="Q19" s="154"/>
      <c r="R19" s="154"/>
      <c r="S19" s="154"/>
      <c r="T19" s="154"/>
      <c r="U19" s="154"/>
      <c r="V19" s="154"/>
      <c r="W19" s="154"/>
      <c r="X19" s="154"/>
      <c r="Y19" s="154"/>
      <c r="Z19" s="154"/>
    </row>
    <row r="20" ht="15.75" customHeight="1">
      <c r="A20" s="152"/>
      <c r="B20" s="152"/>
      <c r="C20" s="152"/>
      <c r="D20" s="152"/>
      <c r="E20" s="168"/>
      <c r="F20" s="152"/>
      <c r="G20" s="168"/>
      <c r="H20" s="154"/>
      <c r="I20" s="152"/>
      <c r="J20" s="168"/>
      <c r="K20" s="154"/>
      <c r="L20" s="154"/>
      <c r="M20" s="154"/>
      <c r="N20" s="154"/>
      <c r="O20" s="154"/>
      <c r="P20" s="154"/>
      <c r="Q20" s="154"/>
      <c r="R20" s="154"/>
      <c r="S20" s="154"/>
      <c r="T20" s="154"/>
      <c r="U20" s="154"/>
      <c r="V20" s="154"/>
      <c r="W20" s="154"/>
      <c r="X20" s="154"/>
      <c r="Y20" s="154"/>
      <c r="Z20" s="154"/>
    </row>
    <row r="21" ht="15.75" customHeight="1">
      <c r="A21" s="172" t="s">
        <v>309</v>
      </c>
      <c r="B21" s="171"/>
      <c r="C21" s="173"/>
      <c r="D21" s="173"/>
      <c r="E21" s="173"/>
      <c r="F21" s="173"/>
      <c r="G21" s="173"/>
      <c r="H21" s="173"/>
      <c r="I21" s="173"/>
      <c r="J21" s="173"/>
      <c r="K21" s="174"/>
      <c r="L21" s="174"/>
      <c r="M21" s="174"/>
      <c r="N21" s="154"/>
      <c r="O21" s="154"/>
      <c r="P21" s="154"/>
      <c r="Q21" s="154"/>
      <c r="R21" s="154"/>
      <c r="S21" s="154"/>
      <c r="T21" s="154"/>
      <c r="U21" s="154"/>
      <c r="V21" s="154"/>
      <c r="W21" s="154"/>
      <c r="X21" s="154"/>
      <c r="Y21" s="154"/>
      <c r="Z21" s="154"/>
    </row>
    <row r="22" ht="15.75" customHeight="1">
      <c r="A22" s="175"/>
      <c r="B22" s="175" t="s">
        <v>310</v>
      </c>
      <c r="C22" s="174"/>
      <c r="D22" s="174"/>
      <c r="E22" s="174"/>
      <c r="F22" s="174"/>
      <c r="G22" s="176">
        <f>C12-C19</f>
        <v>100</v>
      </c>
      <c r="H22" s="175" t="s">
        <v>295</v>
      </c>
      <c r="I22" s="174"/>
      <c r="J22" s="174"/>
      <c r="K22" s="174"/>
      <c r="L22" s="174"/>
      <c r="M22" s="174"/>
      <c r="N22" s="154"/>
      <c r="O22" s="154"/>
      <c r="P22" s="154"/>
      <c r="Q22" s="154"/>
      <c r="R22" s="154"/>
      <c r="S22" s="154"/>
      <c r="T22" s="154"/>
      <c r="U22" s="154"/>
      <c r="V22" s="154"/>
      <c r="W22" s="154"/>
      <c r="X22" s="154"/>
      <c r="Y22" s="154"/>
      <c r="Z22" s="154"/>
    </row>
    <row r="23" ht="15.75" customHeight="1">
      <c r="A23" s="154"/>
      <c r="B23" s="152" t="s">
        <v>311</v>
      </c>
      <c r="C23" s="152"/>
      <c r="D23" s="154"/>
      <c r="E23" s="152"/>
      <c r="F23" s="154"/>
      <c r="G23" s="177">
        <f>G10-G17</f>
        <v>123</v>
      </c>
      <c r="H23" s="152" t="s">
        <v>312</v>
      </c>
      <c r="I23" s="154"/>
      <c r="J23" s="154"/>
      <c r="K23" s="154"/>
      <c r="L23" s="154"/>
      <c r="M23" s="154"/>
      <c r="N23" s="154"/>
      <c r="O23" s="154"/>
      <c r="P23" s="154"/>
      <c r="Q23" s="154"/>
      <c r="R23" s="154"/>
      <c r="S23" s="154"/>
      <c r="T23" s="154"/>
      <c r="U23" s="154"/>
      <c r="V23" s="154"/>
      <c r="W23" s="154"/>
      <c r="X23" s="154"/>
      <c r="Y23" s="154"/>
      <c r="Z23" s="154"/>
    </row>
    <row r="24" ht="15.75" customHeight="1">
      <c r="A24" s="154"/>
      <c r="B24" s="152" t="s">
        <v>313</v>
      </c>
      <c r="C24" s="152"/>
      <c r="D24" s="154"/>
      <c r="E24" s="152"/>
      <c r="F24" s="154"/>
      <c r="G24" s="178">
        <f>(C12-C19)/G23</f>
        <v>0.8130081301</v>
      </c>
      <c r="H24" s="152" t="s">
        <v>314</v>
      </c>
      <c r="I24" s="154"/>
      <c r="J24" s="154"/>
      <c r="K24" s="154"/>
      <c r="L24" s="154"/>
      <c r="M24" s="154"/>
      <c r="N24" s="154"/>
      <c r="O24" s="154"/>
      <c r="P24" s="154"/>
      <c r="Q24" s="154"/>
      <c r="R24" s="154"/>
      <c r="S24" s="154"/>
      <c r="T24" s="154"/>
      <c r="U24" s="154"/>
      <c r="V24" s="154"/>
      <c r="W24" s="154"/>
      <c r="X24" s="154"/>
      <c r="Y24" s="154"/>
      <c r="Z24" s="154"/>
    </row>
    <row r="25" ht="15.75" customHeight="1">
      <c r="A25" s="154"/>
      <c r="B25" s="152"/>
      <c r="C25" s="152"/>
      <c r="D25" s="154"/>
      <c r="E25" s="152"/>
      <c r="F25" s="154"/>
      <c r="G25" s="179"/>
      <c r="H25" s="152"/>
      <c r="I25" s="154"/>
      <c r="J25" s="154"/>
      <c r="K25" s="154"/>
      <c r="L25" s="154"/>
      <c r="M25" s="154"/>
      <c r="N25" s="154"/>
      <c r="O25" s="154"/>
      <c r="P25" s="154"/>
      <c r="Q25" s="154"/>
      <c r="R25" s="154"/>
      <c r="S25" s="154"/>
      <c r="T25" s="154"/>
      <c r="U25" s="154"/>
      <c r="V25" s="154"/>
      <c r="W25" s="154"/>
      <c r="X25" s="154"/>
      <c r="Y25" s="154"/>
      <c r="Z25" s="154"/>
    </row>
    <row r="26" ht="15.75" customHeight="1">
      <c r="A26" s="182" t="s">
        <v>38</v>
      </c>
      <c r="B26" s="182"/>
      <c r="C26" s="182"/>
      <c r="D26" s="171"/>
      <c r="E26" s="182"/>
      <c r="F26" s="171"/>
      <c r="G26" s="247"/>
      <c r="H26" s="182"/>
      <c r="I26" s="171"/>
      <c r="J26" s="171"/>
      <c r="K26" s="154"/>
      <c r="L26" s="154"/>
      <c r="M26" s="154"/>
      <c r="N26" s="154"/>
      <c r="O26" s="154"/>
      <c r="P26" s="154"/>
      <c r="Q26" s="154"/>
      <c r="R26" s="154"/>
      <c r="S26" s="154"/>
      <c r="T26" s="154"/>
      <c r="U26" s="154"/>
      <c r="V26" s="154"/>
      <c r="W26" s="154"/>
      <c r="X26" s="154"/>
      <c r="Y26" s="154"/>
      <c r="Z26" s="154"/>
    </row>
    <row r="27" ht="15.75" customHeight="1">
      <c r="A27" s="154"/>
      <c r="B27" s="181"/>
      <c r="C27" s="248"/>
      <c r="D27" s="181"/>
      <c r="E27" s="248"/>
      <c r="F27" s="181"/>
      <c r="G27" s="249"/>
      <c r="H27" s="248"/>
      <c r="I27" s="181"/>
      <c r="J27" s="181"/>
      <c r="K27" s="154"/>
      <c r="L27" s="154"/>
      <c r="M27" s="154"/>
      <c r="N27" s="154"/>
      <c r="O27" s="154"/>
      <c r="P27" s="154"/>
      <c r="Q27" s="154"/>
      <c r="R27" s="154"/>
      <c r="S27" s="154"/>
      <c r="T27" s="154"/>
      <c r="U27" s="154"/>
      <c r="V27" s="154"/>
      <c r="W27" s="154"/>
      <c r="X27" s="154"/>
      <c r="Y27" s="154"/>
      <c r="Z27" s="154"/>
    </row>
    <row r="28" ht="15.75" customHeight="1">
      <c r="A28" s="154"/>
      <c r="B28" s="170" t="s">
        <v>412</v>
      </c>
      <c r="C28" s="248"/>
      <c r="D28" s="181"/>
      <c r="E28" s="248"/>
      <c r="F28" s="181"/>
      <c r="G28" s="249"/>
      <c r="H28" s="248"/>
      <c r="I28" s="181"/>
      <c r="J28" s="181"/>
      <c r="K28" s="154"/>
      <c r="L28" s="154"/>
      <c r="M28" s="154"/>
      <c r="N28" s="154"/>
      <c r="O28" s="154"/>
      <c r="P28" s="154"/>
      <c r="Q28" s="154"/>
      <c r="R28" s="154"/>
      <c r="S28" s="154"/>
      <c r="T28" s="154"/>
      <c r="U28" s="154"/>
      <c r="V28" s="154"/>
      <c r="W28" s="154"/>
      <c r="X28" s="154"/>
      <c r="Y28" s="154"/>
      <c r="Z28" s="154"/>
    </row>
    <row r="29" ht="15.75" customHeight="1">
      <c r="A29" s="154"/>
      <c r="B29" s="170" t="s">
        <v>413</v>
      </c>
      <c r="C29" s="248"/>
      <c r="D29" s="181"/>
      <c r="E29" s="248"/>
      <c r="F29" s="181"/>
      <c r="G29" s="249"/>
      <c r="H29" s="248"/>
      <c r="I29" s="181"/>
      <c r="J29" s="181"/>
      <c r="K29" s="154"/>
      <c r="L29" s="154"/>
      <c r="M29" s="154"/>
      <c r="N29" s="154"/>
      <c r="O29" s="154"/>
      <c r="P29" s="154"/>
      <c r="Q29" s="154"/>
      <c r="R29" s="154"/>
      <c r="S29" s="154"/>
      <c r="T29" s="154"/>
      <c r="U29" s="154"/>
      <c r="V29" s="154"/>
      <c r="W29" s="154"/>
      <c r="X29" s="154"/>
      <c r="Y29" s="154"/>
      <c r="Z29" s="154"/>
    </row>
    <row r="30" ht="15.75" customHeight="1">
      <c r="A30" s="154"/>
      <c r="B30" s="170" t="s">
        <v>414</v>
      </c>
      <c r="C30" s="248"/>
      <c r="D30" s="181"/>
      <c r="E30" s="250" t="s">
        <v>415</v>
      </c>
      <c r="F30" s="181"/>
      <c r="G30" s="249"/>
      <c r="H30" s="248"/>
      <c r="I30" s="181"/>
      <c r="J30" s="181"/>
      <c r="K30" s="154"/>
      <c r="L30" s="154"/>
      <c r="M30" s="154"/>
      <c r="N30" s="154"/>
      <c r="O30" s="154"/>
      <c r="P30" s="154"/>
      <c r="Q30" s="154"/>
      <c r="R30" s="154"/>
      <c r="S30" s="154"/>
      <c r="T30" s="154"/>
      <c r="U30" s="154"/>
      <c r="V30" s="154"/>
      <c r="W30" s="154"/>
      <c r="X30" s="154"/>
      <c r="Y30" s="154"/>
      <c r="Z30" s="154"/>
    </row>
    <row r="31" ht="15.75" customHeight="1">
      <c r="A31" s="154"/>
      <c r="B31" s="154"/>
      <c r="C31" s="152"/>
      <c r="D31" s="154"/>
      <c r="E31" s="152"/>
      <c r="F31" s="154"/>
      <c r="G31" s="154"/>
      <c r="H31" s="152"/>
      <c r="I31" s="152"/>
      <c r="J31" s="154"/>
      <c r="K31" s="154"/>
      <c r="L31" s="154"/>
      <c r="M31" s="154"/>
      <c r="N31" s="154"/>
      <c r="O31" s="154"/>
      <c r="P31" s="154"/>
      <c r="Q31" s="154"/>
      <c r="R31" s="154"/>
      <c r="S31" s="154"/>
      <c r="T31" s="154"/>
      <c r="U31" s="154"/>
      <c r="V31" s="154"/>
      <c r="W31" s="154"/>
      <c r="X31" s="154"/>
      <c r="Y31" s="154"/>
      <c r="Z31" s="154"/>
    </row>
    <row r="32" ht="15.75" customHeight="1">
      <c r="A32" s="154"/>
      <c r="B32" s="152" t="s">
        <v>416</v>
      </c>
      <c r="C32" s="152"/>
      <c r="D32" s="154"/>
      <c r="E32" s="164">
        <v>10.0</v>
      </c>
      <c r="F32" s="152" t="s">
        <v>417</v>
      </c>
      <c r="G32" s="178">
        <f>E32/I19</f>
        <v>0.1333333333</v>
      </c>
      <c r="H32" s="152" t="s">
        <v>418</v>
      </c>
      <c r="I32" s="154"/>
      <c r="J32" s="154"/>
      <c r="K32" s="154"/>
      <c r="L32" s="154"/>
      <c r="M32" s="154"/>
      <c r="N32" s="154"/>
      <c r="O32" s="154"/>
      <c r="P32" s="154"/>
      <c r="Q32" s="154"/>
      <c r="R32" s="154"/>
      <c r="S32" s="154"/>
      <c r="T32" s="154"/>
      <c r="U32" s="154"/>
      <c r="V32" s="154"/>
      <c r="W32" s="154"/>
      <c r="X32" s="154"/>
      <c r="Y32" s="154"/>
      <c r="Z32" s="154"/>
    </row>
    <row r="33" ht="15.75" customHeight="1">
      <c r="A33" s="154"/>
      <c r="B33" s="152"/>
      <c r="C33" s="152"/>
      <c r="D33" s="154"/>
      <c r="E33" s="210"/>
      <c r="F33" s="152"/>
      <c r="G33" s="179" t="s">
        <v>305</v>
      </c>
      <c r="H33" s="152"/>
      <c r="I33" s="152" t="s">
        <v>419</v>
      </c>
      <c r="J33" s="152" t="s">
        <v>108</v>
      </c>
      <c r="K33" s="154"/>
      <c r="L33" s="154"/>
      <c r="M33" s="154"/>
      <c r="N33" s="154"/>
      <c r="O33" s="154"/>
      <c r="P33" s="154"/>
      <c r="Q33" s="154"/>
      <c r="R33" s="154"/>
      <c r="S33" s="154"/>
      <c r="T33" s="154"/>
      <c r="U33" s="154"/>
      <c r="V33" s="154"/>
      <c r="W33" s="154"/>
      <c r="X33" s="154"/>
      <c r="Y33" s="154"/>
      <c r="Z33" s="154"/>
    </row>
    <row r="34" ht="15.75" customHeight="1">
      <c r="A34" s="154"/>
      <c r="B34" s="152" t="s">
        <v>420</v>
      </c>
      <c r="C34" s="152"/>
      <c r="D34" s="154"/>
      <c r="E34" s="165">
        <v>65.0</v>
      </c>
      <c r="F34" s="152" t="s">
        <v>421</v>
      </c>
      <c r="G34" s="166">
        <f>(E32*E34)/I12</f>
        <v>8.666666667</v>
      </c>
      <c r="H34" s="152"/>
      <c r="I34" s="166">
        <f>E34</f>
        <v>65</v>
      </c>
      <c r="J34" s="166">
        <f>E32*E34</f>
        <v>650</v>
      </c>
      <c r="K34" s="154"/>
      <c r="L34" s="154"/>
      <c r="M34" s="154"/>
      <c r="N34" s="154"/>
      <c r="O34" s="154"/>
      <c r="P34" s="154"/>
      <c r="Q34" s="154"/>
      <c r="R34" s="154"/>
      <c r="S34" s="154"/>
      <c r="T34" s="154"/>
      <c r="U34" s="154"/>
      <c r="V34" s="154"/>
      <c r="W34" s="154"/>
      <c r="X34" s="154"/>
      <c r="Y34" s="154"/>
      <c r="Z34" s="154"/>
    </row>
    <row r="35" ht="15.75" customHeight="1">
      <c r="A35" s="154"/>
      <c r="B35" s="152"/>
      <c r="C35" s="152"/>
      <c r="D35" s="154"/>
      <c r="E35" s="152"/>
      <c r="F35" s="154"/>
      <c r="G35" s="179"/>
      <c r="H35" s="152"/>
      <c r="I35" s="154"/>
      <c r="J35" s="154"/>
      <c r="K35" s="154"/>
      <c r="L35" s="154"/>
      <c r="M35" s="154"/>
      <c r="N35" s="154"/>
      <c r="O35" s="154"/>
      <c r="P35" s="154"/>
      <c r="Q35" s="154"/>
      <c r="R35" s="154"/>
      <c r="S35" s="154"/>
      <c r="T35" s="154"/>
      <c r="U35" s="154"/>
      <c r="V35" s="154"/>
      <c r="W35" s="154"/>
      <c r="X35" s="154"/>
      <c r="Y35" s="154"/>
      <c r="Z35" s="154"/>
    </row>
    <row r="36" ht="15.75" customHeight="1">
      <c r="A36" s="154"/>
      <c r="B36" s="175" t="s">
        <v>422</v>
      </c>
      <c r="C36" s="180"/>
      <c r="D36" s="154"/>
      <c r="E36" s="152"/>
      <c r="F36" s="154"/>
      <c r="G36" s="166">
        <f t="shared" ref="G36:G42" si="2">J36/$I$19</f>
        <v>0</v>
      </c>
      <c r="H36" s="152"/>
      <c r="I36" s="165">
        <v>0.0</v>
      </c>
      <c r="J36" s="166">
        <f t="shared" ref="J36:J42" si="3">I36*$E$32</f>
        <v>0</v>
      </c>
      <c r="K36" s="154"/>
      <c r="L36" s="154"/>
      <c r="M36" s="154"/>
      <c r="N36" s="154"/>
      <c r="O36" s="154"/>
      <c r="P36" s="154"/>
      <c r="Q36" s="154"/>
      <c r="R36" s="154"/>
      <c r="S36" s="154"/>
      <c r="T36" s="154"/>
      <c r="U36" s="154"/>
      <c r="V36" s="154"/>
      <c r="W36" s="154"/>
      <c r="X36" s="154"/>
      <c r="Y36" s="154"/>
      <c r="Z36" s="154"/>
    </row>
    <row r="37" ht="15.75" customHeight="1">
      <c r="A37" s="154"/>
      <c r="B37" s="175" t="s">
        <v>423</v>
      </c>
      <c r="C37" s="180"/>
      <c r="D37" s="154"/>
      <c r="E37" s="152"/>
      <c r="F37" s="154"/>
      <c r="G37" s="166">
        <f t="shared" si="2"/>
        <v>6.666666667</v>
      </c>
      <c r="H37" s="152"/>
      <c r="I37" s="165">
        <v>50.0</v>
      </c>
      <c r="J37" s="166">
        <f t="shared" si="3"/>
        <v>500</v>
      </c>
      <c r="K37" s="154"/>
      <c r="L37" s="154"/>
      <c r="M37" s="154"/>
      <c r="N37" s="154"/>
      <c r="O37" s="154"/>
      <c r="P37" s="154"/>
      <c r="Q37" s="154"/>
      <c r="R37" s="154"/>
      <c r="S37" s="154"/>
      <c r="T37" s="154"/>
      <c r="U37" s="154"/>
      <c r="V37" s="154"/>
      <c r="W37" s="154"/>
      <c r="X37" s="154"/>
      <c r="Y37" s="154"/>
      <c r="Z37" s="154"/>
    </row>
    <row r="38" ht="15.75" customHeight="1">
      <c r="A38" s="154"/>
      <c r="B38" s="175" t="s">
        <v>424</v>
      </c>
      <c r="C38" s="180"/>
      <c r="D38" s="154"/>
      <c r="E38" s="152"/>
      <c r="F38" s="154"/>
      <c r="G38" s="166">
        <f t="shared" si="2"/>
        <v>0.9333333333</v>
      </c>
      <c r="H38" s="152"/>
      <c r="I38" s="165">
        <v>7.0</v>
      </c>
      <c r="J38" s="166">
        <f t="shared" si="3"/>
        <v>70</v>
      </c>
      <c r="K38" s="154"/>
      <c r="L38" s="154"/>
      <c r="M38" s="154"/>
      <c r="N38" s="154"/>
      <c r="O38" s="154"/>
      <c r="P38" s="154"/>
      <c r="Q38" s="154"/>
      <c r="R38" s="154"/>
      <c r="S38" s="154"/>
      <c r="T38" s="154"/>
      <c r="U38" s="154"/>
      <c r="V38" s="154"/>
      <c r="W38" s="154"/>
      <c r="X38" s="154"/>
      <c r="Y38" s="154"/>
      <c r="Z38" s="154"/>
    </row>
    <row r="39" ht="15.75" customHeight="1">
      <c r="A39" s="154"/>
      <c r="B39" s="175" t="s">
        <v>425</v>
      </c>
      <c r="C39" s="180"/>
      <c r="D39" s="154"/>
      <c r="E39" s="152"/>
      <c r="F39" s="154"/>
      <c r="G39" s="166">
        <f t="shared" si="2"/>
        <v>0.5333333333</v>
      </c>
      <c r="H39" s="152"/>
      <c r="I39" s="165">
        <v>4.0</v>
      </c>
      <c r="J39" s="166">
        <f t="shared" si="3"/>
        <v>40</v>
      </c>
      <c r="K39" s="154"/>
      <c r="L39" s="154"/>
      <c r="M39" s="154"/>
      <c r="N39" s="154"/>
      <c r="O39" s="154"/>
      <c r="P39" s="154"/>
      <c r="Q39" s="154"/>
      <c r="R39" s="154"/>
      <c r="S39" s="154"/>
      <c r="T39" s="154"/>
      <c r="U39" s="154"/>
      <c r="V39" s="154"/>
      <c r="W39" s="154"/>
      <c r="X39" s="154"/>
      <c r="Y39" s="154"/>
      <c r="Z39" s="154"/>
    </row>
    <row r="40" ht="15.75" customHeight="1">
      <c r="A40" s="154"/>
      <c r="B40" s="175" t="s">
        <v>251</v>
      </c>
      <c r="C40" s="180"/>
      <c r="D40" s="154"/>
      <c r="E40" s="152"/>
      <c r="F40" s="154"/>
      <c r="G40" s="166">
        <f t="shared" si="2"/>
        <v>1.6</v>
      </c>
      <c r="H40" s="152"/>
      <c r="I40" s="165">
        <v>12.0</v>
      </c>
      <c r="J40" s="166">
        <f t="shared" si="3"/>
        <v>120</v>
      </c>
      <c r="K40" s="154"/>
      <c r="L40" s="154"/>
      <c r="M40" s="154"/>
      <c r="N40" s="154"/>
      <c r="O40" s="154"/>
      <c r="P40" s="154"/>
      <c r="Q40" s="154"/>
      <c r="R40" s="154"/>
      <c r="S40" s="154"/>
      <c r="T40" s="154"/>
      <c r="U40" s="154"/>
      <c r="V40" s="154"/>
      <c r="W40" s="154"/>
      <c r="X40" s="154"/>
      <c r="Y40" s="154"/>
      <c r="Z40" s="154"/>
    </row>
    <row r="41" ht="15.75" customHeight="1">
      <c r="A41" s="154"/>
      <c r="B41" s="175" t="s">
        <v>426</v>
      </c>
      <c r="C41" s="180"/>
      <c r="D41" s="154"/>
      <c r="E41" s="152"/>
      <c r="F41" s="154"/>
      <c r="G41" s="166">
        <f t="shared" si="2"/>
        <v>0.5333333333</v>
      </c>
      <c r="H41" s="152"/>
      <c r="I41" s="165">
        <v>4.0</v>
      </c>
      <c r="J41" s="166">
        <f t="shared" si="3"/>
        <v>40</v>
      </c>
      <c r="K41" s="154"/>
      <c r="L41" s="154"/>
      <c r="M41" s="154"/>
      <c r="N41" s="154"/>
      <c r="O41" s="154"/>
      <c r="P41" s="154"/>
      <c r="Q41" s="154"/>
      <c r="R41" s="154"/>
      <c r="S41" s="154"/>
      <c r="T41" s="154"/>
      <c r="U41" s="154"/>
      <c r="V41" s="154"/>
      <c r="W41" s="154"/>
      <c r="X41" s="154"/>
      <c r="Y41" s="154"/>
      <c r="Z41" s="154"/>
    </row>
    <row r="42" ht="15.75" customHeight="1">
      <c r="A42" s="154"/>
      <c r="B42" s="175" t="s">
        <v>427</v>
      </c>
      <c r="C42" s="180"/>
      <c r="D42" s="154"/>
      <c r="E42" s="152"/>
      <c r="F42" s="154"/>
      <c r="G42" s="166">
        <f t="shared" si="2"/>
        <v>0.6666666667</v>
      </c>
      <c r="H42" s="152"/>
      <c r="I42" s="165">
        <v>5.0</v>
      </c>
      <c r="J42" s="166">
        <f t="shared" si="3"/>
        <v>50</v>
      </c>
      <c r="K42" s="154"/>
      <c r="L42" s="154"/>
      <c r="M42" s="154"/>
      <c r="N42" s="154"/>
      <c r="O42" s="154"/>
      <c r="P42" s="154"/>
      <c r="Q42" s="154"/>
      <c r="R42" s="154"/>
      <c r="S42" s="154"/>
      <c r="T42" s="154"/>
      <c r="U42" s="154"/>
      <c r="V42" s="154"/>
      <c r="W42" s="154"/>
      <c r="X42" s="154"/>
      <c r="Y42" s="154"/>
      <c r="Z42" s="154"/>
    </row>
    <row r="43" ht="15.75" customHeight="1">
      <c r="A43" s="154"/>
      <c r="B43" s="152" t="s">
        <v>428</v>
      </c>
      <c r="C43" s="180"/>
      <c r="D43" s="154"/>
      <c r="E43" s="152"/>
      <c r="F43" s="154"/>
      <c r="G43" s="166">
        <f>SUM(G34:G42)</f>
        <v>19.6</v>
      </c>
      <c r="H43" s="152"/>
      <c r="I43" s="166">
        <f t="shared" ref="I43:J43" si="4">SUM(I34:I42)</f>
        <v>147</v>
      </c>
      <c r="J43" s="166">
        <f t="shared" si="4"/>
        <v>1470</v>
      </c>
      <c r="K43" s="154"/>
      <c r="L43" s="154"/>
      <c r="M43" s="154"/>
      <c r="N43" s="154"/>
      <c r="O43" s="154"/>
      <c r="P43" s="154"/>
      <c r="Q43" s="154"/>
      <c r="R43" s="154"/>
      <c r="S43" s="154"/>
      <c r="T43" s="154"/>
      <c r="U43" s="154"/>
      <c r="V43" s="154"/>
      <c r="W43" s="154"/>
      <c r="X43" s="154"/>
      <c r="Y43" s="154"/>
      <c r="Z43" s="154"/>
    </row>
    <row r="44" ht="15.75" customHeight="1">
      <c r="A44" s="154"/>
      <c r="B44" s="152"/>
      <c r="C44" s="180"/>
      <c r="D44" s="154"/>
      <c r="E44" s="152"/>
      <c r="F44" s="154"/>
      <c r="G44" s="168"/>
      <c r="H44" s="152"/>
      <c r="I44" s="168"/>
      <c r="J44" s="168"/>
      <c r="K44" s="154"/>
      <c r="L44" s="154"/>
      <c r="M44" s="154"/>
      <c r="N44" s="154"/>
      <c r="O44" s="154"/>
      <c r="P44" s="154"/>
      <c r="Q44" s="154"/>
      <c r="R44" s="154"/>
      <c r="S44" s="154"/>
      <c r="T44" s="154"/>
      <c r="U44" s="154"/>
      <c r="V44" s="154"/>
      <c r="W44" s="154"/>
      <c r="X44" s="154"/>
      <c r="Y44" s="154"/>
      <c r="Z44" s="154"/>
    </row>
    <row r="45" ht="15.75" customHeight="1">
      <c r="A45" s="172" t="s">
        <v>429</v>
      </c>
      <c r="B45" s="173"/>
      <c r="C45" s="173"/>
      <c r="D45" s="173"/>
      <c r="E45" s="173"/>
      <c r="F45" s="173"/>
      <c r="G45" s="173"/>
      <c r="H45" s="173"/>
      <c r="I45" s="173"/>
      <c r="J45" s="173"/>
      <c r="K45" s="180"/>
      <c r="L45" s="180"/>
      <c r="M45" s="174"/>
      <c r="N45" s="174"/>
      <c r="O45" s="174"/>
      <c r="P45" s="174"/>
      <c r="Q45" s="174"/>
      <c r="R45" s="174"/>
      <c r="S45" s="174"/>
      <c r="T45" s="174"/>
      <c r="U45" s="174"/>
      <c r="V45" s="174"/>
      <c r="W45" s="174"/>
      <c r="X45" s="174"/>
      <c r="Y45" s="174"/>
      <c r="Z45" s="174"/>
    </row>
    <row r="46" ht="15.75" customHeight="1">
      <c r="A46" s="154"/>
      <c r="B46" s="170" t="s">
        <v>430</v>
      </c>
      <c r="C46" s="181"/>
      <c r="D46" s="181"/>
      <c r="E46" s="181"/>
      <c r="F46" s="181"/>
      <c r="G46" s="181"/>
      <c r="H46" s="154"/>
      <c r="I46" s="154"/>
      <c r="J46" s="152" t="s">
        <v>431</v>
      </c>
      <c r="K46" s="154"/>
      <c r="L46" s="154"/>
      <c r="M46" s="154"/>
      <c r="N46" s="154"/>
      <c r="O46" s="154"/>
      <c r="P46" s="154"/>
      <c r="Q46" s="154"/>
      <c r="R46" s="154"/>
      <c r="S46" s="154"/>
      <c r="T46" s="154"/>
      <c r="U46" s="154"/>
      <c r="V46" s="154"/>
      <c r="W46" s="154"/>
      <c r="X46" s="154"/>
      <c r="Y46" s="154"/>
      <c r="Z46" s="154"/>
    </row>
    <row r="47" ht="15.75" customHeight="1">
      <c r="A47" s="154"/>
      <c r="B47" s="251"/>
      <c r="C47" s="154"/>
      <c r="D47" s="154"/>
      <c r="E47" s="154"/>
      <c r="F47" s="154"/>
      <c r="G47" s="154"/>
      <c r="H47" s="154"/>
      <c r="I47" s="154"/>
      <c r="J47" s="152" t="s">
        <v>323</v>
      </c>
      <c r="K47" s="154"/>
      <c r="L47" s="154"/>
      <c r="M47" s="154"/>
      <c r="N47" s="154"/>
      <c r="O47" s="154"/>
      <c r="P47" s="154"/>
      <c r="Q47" s="154"/>
      <c r="R47" s="154"/>
      <c r="S47" s="154"/>
      <c r="T47" s="154"/>
      <c r="U47" s="154"/>
      <c r="V47" s="154"/>
      <c r="W47" s="154"/>
      <c r="X47" s="154"/>
      <c r="Y47" s="154"/>
      <c r="Z47" s="154"/>
    </row>
    <row r="48" ht="15.75" customHeight="1">
      <c r="A48" s="154"/>
      <c r="B48" s="152" t="s">
        <v>432</v>
      </c>
      <c r="C48" s="154"/>
      <c r="D48" s="154"/>
      <c r="E48" s="154"/>
      <c r="F48" s="154"/>
      <c r="G48" s="166">
        <f>'Pasture Lamb Finish Feed Cost'!K24</f>
        <v>7.5369</v>
      </c>
      <c r="H48" s="154"/>
      <c r="I48" s="154"/>
      <c r="J48" s="166">
        <f t="shared" ref="J48:J50" si="5">G48*$I$19</f>
        <v>565.2675</v>
      </c>
      <c r="K48" s="154"/>
      <c r="L48" s="154"/>
      <c r="M48" s="154"/>
      <c r="N48" s="154"/>
      <c r="O48" s="154"/>
      <c r="P48" s="154"/>
      <c r="Q48" s="154"/>
      <c r="R48" s="154"/>
      <c r="S48" s="154"/>
      <c r="T48" s="154"/>
      <c r="U48" s="154"/>
      <c r="V48" s="154"/>
      <c r="W48" s="154"/>
      <c r="X48" s="154"/>
      <c r="Y48" s="154"/>
      <c r="Z48" s="154"/>
    </row>
    <row r="49" ht="15.75" customHeight="1">
      <c r="A49" s="154"/>
      <c r="B49" s="152" t="s">
        <v>433</v>
      </c>
      <c r="C49" s="154"/>
      <c r="D49" s="154"/>
      <c r="E49" s="154"/>
      <c r="F49" s="154"/>
      <c r="G49" s="166">
        <f>'Pasture Lamb Finish Feed Cost'!K40</f>
        <v>19.54065</v>
      </c>
      <c r="H49" s="154"/>
      <c r="I49" s="154"/>
      <c r="J49" s="166">
        <f t="shared" si="5"/>
        <v>1465.54875</v>
      </c>
      <c r="K49" s="154"/>
      <c r="L49" s="154"/>
      <c r="M49" s="154"/>
      <c r="N49" s="154"/>
      <c r="O49" s="154"/>
      <c r="P49" s="154"/>
      <c r="Q49" s="154"/>
      <c r="R49" s="154"/>
      <c r="S49" s="154"/>
      <c r="T49" s="154"/>
      <c r="U49" s="154"/>
      <c r="V49" s="154"/>
      <c r="W49" s="154"/>
      <c r="X49" s="154"/>
      <c r="Y49" s="154"/>
      <c r="Z49" s="154"/>
    </row>
    <row r="50" ht="15.75" customHeight="1">
      <c r="A50" s="154"/>
      <c r="B50" s="152" t="s">
        <v>434</v>
      </c>
      <c r="C50" s="154"/>
      <c r="D50" s="154"/>
      <c r="E50" s="154"/>
      <c r="F50" s="154"/>
      <c r="G50" s="166">
        <f>G43</f>
        <v>19.6</v>
      </c>
      <c r="H50" s="154"/>
      <c r="I50" s="154"/>
      <c r="J50" s="166">
        <f t="shared" si="5"/>
        <v>1470</v>
      </c>
      <c r="K50" s="154"/>
      <c r="L50" s="154"/>
      <c r="M50" s="154"/>
      <c r="N50" s="154"/>
      <c r="O50" s="154"/>
      <c r="P50" s="154"/>
      <c r="Q50" s="154"/>
      <c r="R50" s="154"/>
      <c r="S50" s="154"/>
      <c r="T50" s="154"/>
      <c r="U50" s="154"/>
      <c r="V50" s="154"/>
      <c r="W50" s="154"/>
      <c r="X50" s="154"/>
      <c r="Y50" s="154"/>
      <c r="Z50" s="154"/>
    </row>
    <row r="51" ht="15.75" customHeight="1">
      <c r="A51" s="154"/>
      <c r="B51" s="152" t="s">
        <v>324</v>
      </c>
      <c r="C51" s="154"/>
      <c r="D51" s="154"/>
      <c r="E51" s="154"/>
      <c r="F51" s="154"/>
      <c r="G51" s="166">
        <f>SUM(G48:G50)</f>
        <v>46.67755</v>
      </c>
      <c r="H51" s="154"/>
      <c r="I51" s="154"/>
      <c r="J51" s="166">
        <f>G51*I19</f>
        <v>3500.81625</v>
      </c>
      <c r="K51" s="154"/>
      <c r="L51" s="154"/>
      <c r="M51" s="154"/>
      <c r="N51" s="154"/>
      <c r="O51" s="154"/>
      <c r="P51" s="154"/>
      <c r="Q51" s="154"/>
      <c r="R51" s="154"/>
      <c r="S51" s="154"/>
      <c r="T51" s="154"/>
      <c r="U51" s="154"/>
      <c r="V51" s="154"/>
      <c r="W51" s="154"/>
      <c r="X51" s="154"/>
      <c r="Y51" s="154"/>
      <c r="Z51" s="154"/>
    </row>
    <row r="52" ht="15.75" customHeight="1">
      <c r="A52" s="154"/>
      <c r="B52" s="152" t="s">
        <v>435</v>
      </c>
      <c r="C52" s="154"/>
      <c r="D52" s="154"/>
      <c r="E52" s="154"/>
      <c r="F52" s="154"/>
      <c r="G52" s="166">
        <f>G51/G22</f>
        <v>0.4667755</v>
      </c>
      <c r="H52" s="154"/>
      <c r="I52" s="154"/>
      <c r="J52" s="205"/>
      <c r="K52" s="154"/>
      <c r="L52" s="154"/>
      <c r="M52" s="154"/>
      <c r="N52" s="154"/>
      <c r="O52" s="154"/>
      <c r="P52" s="154"/>
      <c r="Q52" s="154"/>
      <c r="R52" s="154"/>
      <c r="S52" s="154"/>
      <c r="T52" s="154"/>
      <c r="U52" s="154"/>
      <c r="V52" s="154"/>
      <c r="W52" s="154"/>
      <c r="X52" s="154"/>
      <c r="Y52" s="154"/>
      <c r="Z52" s="154"/>
    </row>
    <row r="53" ht="15.75" customHeight="1">
      <c r="A53" s="154"/>
      <c r="B53" s="152"/>
      <c r="C53" s="154"/>
      <c r="D53" s="154"/>
      <c r="E53" s="154"/>
      <c r="F53" s="154"/>
      <c r="G53" s="168"/>
      <c r="H53" s="154"/>
      <c r="I53" s="154"/>
      <c r="J53" s="205"/>
      <c r="K53" s="154"/>
      <c r="L53" s="154"/>
      <c r="M53" s="154"/>
      <c r="N53" s="154"/>
      <c r="O53" s="154"/>
      <c r="P53" s="154"/>
      <c r="Q53" s="154"/>
      <c r="R53" s="154"/>
      <c r="S53" s="154"/>
      <c r="T53" s="154"/>
      <c r="U53" s="154"/>
      <c r="V53" s="154"/>
      <c r="W53" s="154"/>
      <c r="X53" s="154"/>
      <c r="Y53" s="154"/>
      <c r="Z53" s="154"/>
    </row>
    <row r="54" ht="15.75" customHeight="1">
      <c r="A54" s="172" t="s">
        <v>325</v>
      </c>
      <c r="B54" s="171"/>
      <c r="C54" s="171"/>
      <c r="D54" s="171"/>
      <c r="E54" s="171"/>
      <c r="F54" s="171"/>
      <c r="G54" s="171"/>
      <c r="H54" s="171"/>
      <c r="I54" s="171"/>
      <c r="J54" s="171"/>
      <c r="K54" s="154"/>
      <c r="L54" s="154"/>
      <c r="M54" s="154"/>
      <c r="N54" s="154"/>
      <c r="O54" s="154"/>
      <c r="P54" s="154"/>
      <c r="Q54" s="154"/>
      <c r="R54" s="154"/>
      <c r="S54" s="154"/>
      <c r="T54" s="154"/>
      <c r="U54" s="154"/>
      <c r="V54" s="154"/>
      <c r="W54" s="154"/>
      <c r="X54" s="154"/>
      <c r="Y54" s="154"/>
      <c r="Z54" s="154"/>
    </row>
    <row r="55" ht="15.75" customHeight="1">
      <c r="A55" s="154"/>
      <c r="B55" s="152" t="s">
        <v>188</v>
      </c>
      <c r="C55" s="152"/>
      <c r="D55" s="152"/>
      <c r="E55" s="152"/>
      <c r="F55" s="152"/>
      <c r="G55" s="152" t="s">
        <v>305</v>
      </c>
      <c r="H55" s="154"/>
      <c r="I55" s="154"/>
      <c r="J55" s="152" t="s">
        <v>326</v>
      </c>
      <c r="K55" s="154"/>
      <c r="L55" s="154"/>
      <c r="M55" s="154"/>
      <c r="N55" s="154"/>
      <c r="O55" s="154"/>
      <c r="P55" s="154"/>
      <c r="Q55" s="154"/>
      <c r="R55" s="154"/>
      <c r="S55" s="154"/>
      <c r="T55" s="154"/>
      <c r="U55" s="154"/>
      <c r="V55" s="154"/>
      <c r="W55" s="154"/>
      <c r="X55" s="154"/>
      <c r="Y55" s="154"/>
      <c r="Z55" s="154"/>
    </row>
    <row r="56" ht="15.75" customHeight="1">
      <c r="A56" s="154"/>
      <c r="B56" s="164" t="s">
        <v>327</v>
      </c>
      <c r="C56" s="154"/>
      <c r="D56" s="154"/>
      <c r="E56" s="154"/>
      <c r="F56" s="154"/>
      <c r="G56" s="166">
        <f t="shared" ref="G56:G63" si="6">J56/$I$12</f>
        <v>0.1533333333</v>
      </c>
      <c r="H56" s="154"/>
      <c r="I56" s="154"/>
      <c r="J56" s="165">
        <v>11.5</v>
      </c>
      <c r="K56" s="154"/>
      <c r="L56" s="154"/>
      <c r="M56" s="154"/>
      <c r="N56" s="154"/>
      <c r="O56" s="154"/>
      <c r="P56" s="154"/>
      <c r="Q56" s="154"/>
      <c r="R56" s="154"/>
      <c r="S56" s="154"/>
      <c r="T56" s="154"/>
      <c r="U56" s="154"/>
      <c r="V56" s="154"/>
      <c r="W56" s="154"/>
      <c r="X56" s="154"/>
      <c r="Y56" s="154"/>
      <c r="Z56" s="154"/>
    </row>
    <row r="57" ht="15.75" customHeight="1">
      <c r="A57" s="154"/>
      <c r="B57" s="164" t="s">
        <v>328</v>
      </c>
      <c r="C57" s="154"/>
      <c r="D57" s="154"/>
      <c r="E57" s="154"/>
      <c r="F57" s="154"/>
      <c r="G57" s="166">
        <f t="shared" si="6"/>
        <v>0.1333333333</v>
      </c>
      <c r="H57" s="154"/>
      <c r="I57" s="154"/>
      <c r="J57" s="165">
        <v>10.0</v>
      </c>
      <c r="K57" s="154"/>
      <c r="L57" s="154"/>
      <c r="M57" s="154"/>
      <c r="N57" s="154"/>
      <c r="O57" s="154"/>
      <c r="P57" s="154"/>
      <c r="Q57" s="154"/>
      <c r="R57" s="154"/>
      <c r="S57" s="154"/>
      <c r="T57" s="154"/>
      <c r="U57" s="154"/>
      <c r="V57" s="154"/>
      <c r="W57" s="154"/>
      <c r="X57" s="154"/>
      <c r="Y57" s="154"/>
      <c r="Z57" s="154"/>
    </row>
    <row r="58" ht="15.75" customHeight="1">
      <c r="A58" s="154"/>
      <c r="B58" s="164" t="s">
        <v>329</v>
      </c>
      <c r="C58" s="154"/>
      <c r="D58" s="154"/>
      <c r="E58" s="154"/>
      <c r="F58" s="154"/>
      <c r="G58" s="166">
        <f t="shared" si="6"/>
        <v>0.2</v>
      </c>
      <c r="H58" s="154"/>
      <c r="I58" s="154"/>
      <c r="J58" s="165">
        <v>15.0</v>
      </c>
      <c r="K58" s="154"/>
      <c r="L58" s="154"/>
      <c r="M58" s="154"/>
      <c r="N58" s="154"/>
      <c r="O58" s="154"/>
      <c r="P58" s="154"/>
      <c r="Q58" s="154"/>
      <c r="R58" s="154"/>
      <c r="S58" s="154"/>
      <c r="T58" s="154"/>
      <c r="U58" s="154"/>
      <c r="V58" s="154"/>
      <c r="W58" s="154"/>
      <c r="X58" s="154"/>
      <c r="Y58" s="154"/>
      <c r="Z58" s="154"/>
    </row>
    <row r="59" ht="15.75" customHeight="1">
      <c r="A59" s="154"/>
      <c r="B59" s="164"/>
      <c r="C59" s="154"/>
      <c r="D59" s="154"/>
      <c r="E59" s="154"/>
      <c r="F59" s="154"/>
      <c r="G59" s="166">
        <f t="shared" si="6"/>
        <v>0</v>
      </c>
      <c r="H59" s="154"/>
      <c r="I59" s="154"/>
      <c r="J59" s="165"/>
      <c r="K59" s="154"/>
      <c r="L59" s="154"/>
      <c r="M59" s="154"/>
      <c r="N59" s="154"/>
      <c r="O59" s="154"/>
      <c r="P59" s="154"/>
      <c r="Q59" s="154"/>
      <c r="R59" s="154"/>
      <c r="S59" s="154"/>
      <c r="T59" s="154"/>
      <c r="U59" s="154"/>
      <c r="V59" s="154"/>
      <c r="W59" s="154"/>
      <c r="X59" s="154"/>
      <c r="Y59" s="154"/>
      <c r="Z59" s="154"/>
    </row>
    <row r="60" ht="15.75" customHeight="1">
      <c r="A60" s="154"/>
      <c r="B60" s="164" t="s">
        <v>330</v>
      </c>
      <c r="C60" s="154"/>
      <c r="D60" s="154"/>
      <c r="E60" s="154"/>
      <c r="F60" s="154"/>
      <c r="G60" s="166">
        <f t="shared" si="6"/>
        <v>0.06666666667</v>
      </c>
      <c r="H60" s="154"/>
      <c r="I60" s="154"/>
      <c r="J60" s="165">
        <v>5.0</v>
      </c>
      <c r="K60" s="154"/>
      <c r="L60" s="154"/>
      <c r="M60" s="154"/>
      <c r="N60" s="154"/>
      <c r="O60" s="154"/>
      <c r="P60" s="154"/>
      <c r="Q60" s="154"/>
      <c r="R60" s="154"/>
      <c r="S60" s="154"/>
      <c r="T60" s="154"/>
      <c r="U60" s="154"/>
      <c r="V60" s="154"/>
      <c r="W60" s="154"/>
      <c r="X60" s="154"/>
      <c r="Y60" s="154"/>
      <c r="Z60" s="154"/>
    </row>
    <row r="61" ht="15.75" customHeight="1">
      <c r="A61" s="154"/>
      <c r="B61" s="164"/>
      <c r="C61" s="154"/>
      <c r="D61" s="154"/>
      <c r="E61" s="154"/>
      <c r="F61" s="154"/>
      <c r="G61" s="166">
        <f t="shared" si="6"/>
        <v>0</v>
      </c>
      <c r="H61" s="154"/>
      <c r="I61" s="154"/>
      <c r="J61" s="165"/>
      <c r="K61" s="154"/>
      <c r="L61" s="154"/>
      <c r="M61" s="154"/>
      <c r="N61" s="154"/>
      <c r="O61" s="154"/>
      <c r="P61" s="154"/>
      <c r="Q61" s="154"/>
      <c r="R61" s="154"/>
      <c r="S61" s="154"/>
      <c r="T61" s="154"/>
      <c r="U61" s="154"/>
      <c r="V61" s="154"/>
      <c r="W61" s="154"/>
      <c r="X61" s="154"/>
      <c r="Y61" s="154"/>
      <c r="Z61" s="154"/>
    </row>
    <row r="62" ht="15.75" customHeight="1">
      <c r="A62" s="154"/>
      <c r="B62" s="164"/>
      <c r="C62" s="154"/>
      <c r="D62" s="154"/>
      <c r="E62" s="154"/>
      <c r="F62" s="154"/>
      <c r="G62" s="166">
        <f t="shared" si="6"/>
        <v>0</v>
      </c>
      <c r="H62" s="154"/>
      <c r="I62" s="154"/>
      <c r="J62" s="165">
        <v>0.0</v>
      </c>
      <c r="K62" s="154"/>
      <c r="L62" s="154"/>
      <c r="M62" s="154"/>
      <c r="N62" s="154"/>
      <c r="O62" s="154"/>
      <c r="P62" s="154"/>
      <c r="Q62" s="154"/>
      <c r="R62" s="154"/>
      <c r="S62" s="154"/>
      <c r="T62" s="154"/>
      <c r="U62" s="154"/>
      <c r="V62" s="154"/>
      <c r="W62" s="154"/>
      <c r="X62" s="154"/>
      <c r="Y62" s="154"/>
      <c r="Z62" s="154"/>
    </row>
    <row r="63" ht="15.75" customHeight="1">
      <c r="A63" s="154"/>
      <c r="B63" s="164"/>
      <c r="C63" s="154"/>
      <c r="D63" s="154"/>
      <c r="E63" s="154"/>
      <c r="F63" s="154"/>
      <c r="G63" s="166">
        <f t="shared" si="6"/>
        <v>0</v>
      </c>
      <c r="H63" s="154"/>
      <c r="I63" s="154"/>
      <c r="J63" s="165"/>
      <c r="K63" s="154"/>
      <c r="L63" s="154"/>
      <c r="M63" s="154"/>
      <c r="N63" s="154"/>
      <c r="O63" s="154"/>
      <c r="P63" s="154"/>
      <c r="Q63" s="154"/>
      <c r="R63" s="154"/>
      <c r="S63" s="154"/>
      <c r="T63" s="154"/>
      <c r="U63" s="154"/>
      <c r="V63" s="154"/>
      <c r="W63" s="154"/>
      <c r="X63" s="154"/>
      <c r="Y63" s="154"/>
      <c r="Z63" s="154"/>
    </row>
    <row r="64" ht="15.75" customHeight="1">
      <c r="A64" s="154"/>
      <c r="B64" s="152" t="s">
        <v>143</v>
      </c>
      <c r="C64" s="154"/>
      <c r="D64" s="154"/>
      <c r="E64" s="154"/>
      <c r="F64" s="154"/>
      <c r="G64" s="166">
        <f>SUM(G56:G63)</f>
        <v>0.5533333333</v>
      </c>
      <c r="H64" s="154"/>
      <c r="I64" s="154"/>
      <c r="J64" s="166">
        <f>SUM(J56:J63)</f>
        <v>41.5</v>
      </c>
      <c r="K64" s="154"/>
      <c r="L64" s="154"/>
      <c r="M64" s="154"/>
      <c r="N64" s="154"/>
      <c r="O64" s="154"/>
      <c r="P64" s="154"/>
      <c r="Q64" s="154"/>
      <c r="R64" s="154"/>
      <c r="S64" s="154"/>
      <c r="T64" s="154"/>
      <c r="U64" s="154"/>
      <c r="V64" s="154"/>
      <c r="W64" s="154"/>
      <c r="X64" s="154"/>
      <c r="Y64" s="154"/>
      <c r="Z64" s="154"/>
    </row>
    <row r="65" ht="15.75" customHeight="1">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ht="15.75" customHeight="1">
      <c r="A66" s="182" t="s">
        <v>331</v>
      </c>
      <c r="B66" s="171"/>
      <c r="C66" s="171"/>
      <c r="D66" s="171"/>
      <c r="E66" s="171"/>
      <c r="F66" s="171"/>
      <c r="G66" s="171"/>
      <c r="H66" s="171"/>
      <c r="I66" s="171"/>
      <c r="J66" s="171"/>
      <c r="K66" s="154"/>
      <c r="L66" s="154"/>
      <c r="M66" s="154"/>
      <c r="N66" s="154"/>
      <c r="O66" s="154"/>
      <c r="P66" s="154"/>
      <c r="Q66" s="154"/>
      <c r="R66" s="154"/>
      <c r="S66" s="154"/>
      <c r="T66" s="154"/>
      <c r="U66" s="154"/>
      <c r="V66" s="154"/>
      <c r="W66" s="154"/>
      <c r="X66" s="154"/>
      <c r="Y66" s="154"/>
      <c r="Z66" s="154"/>
    </row>
    <row r="67" ht="15.75" customHeight="1">
      <c r="A67" s="152"/>
      <c r="B67" s="154"/>
      <c r="C67" s="154"/>
      <c r="D67" s="154"/>
      <c r="E67" s="154"/>
      <c r="F67" s="154"/>
      <c r="G67" s="152" t="s">
        <v>305</v>
      </c>
      <c r="H67" s="154"/>
      <c r="I67" s="154"/>
      <c r="J67" s="152" t="s">
        <v>326</v>
      </c>
      <c r="K67" s="154"/>
      <c r="L67" s="154"/>
      <c r="M67" s="154"/>
      <c r="N67" s="154"/>
      <c r="O67" s="154"/>
      <c r="P67" s="154"/>
      <c r="Q67" s="154"/>
      <c r="R67" s="154"/>
      <c r="S67" s="154"/>
      <c r="T67" s="154"/>
      <c r="U67" s="154"/>
      <c r="V67" s="154"/>
      <c r="W67" s="154"/>
      <c r="X67" s="154"/>
      <c r="Y67" s="154"/>
      <c r="Z67" s="154"/>
    </row>
    <row r="68" ht="15.75" customHeight="1">
      <c r="A68" s="180"/>
      <c r="B68" s="175" t="s">
        <v>332</v>
      </c>
      <c r="C68" s="183">
        <v>5.0</v>
      </c>
      <c r="D68" s="184" t="s">
        <v>333</v>
      </c>
      <c r="E68" s="185"/>
      <c r="F68" s="186"/>
      <c r="G68" s="187">
        <f>(G12+G13)*(C68/100)</f>
        <v>16.6545</v>
      </c>
      <c r="H68" s="188"/>
      <c r="I68" s="180"/>
      <c r="J68" s="189">
        <f t="shared" ref="J68:J70" si="7">G68*$I$12</f>
        <v>1249.0875</v>
      </c>
      <c r="K68" s="154"/>
      <c r="L68" s="154"/>
      <c r="M68" s="154"/>
      <c r="N68" s="154"/>
      <c r="O68" s="154"/>
      <c r="P68" s="154"/>
      <c r="Q68" s="154"/>
      <c r="R68" s="154"/>
      <c r="S68" s="154"/>
      <c r="T68" s="154"/>
      <c r="U68" s="154"/>
      <c r="V68" s="154"/>
      <c r="W68" s="154"/>
      <c r="X68" s="154"/>
      <c r="Y68" s="154"/>
      <c r="Z68" s="154"/>
    </row>
    <row r="69" ht="15.75" customHeight="1">
      <c r="A69" s="180"/>
      <c r="B69" s="175" t="s">
        <v>334</v>
      </c>
      <c r="C69" s="252">
        <f>G19</f>
        <v>150</v>
      </c>
      <c r="D69" s="184" t="s">
        <v>335</v>
      </c>
      <c r="E69" s="191">
        <v>6.0</v>
      </c>
      <c r="F69" s="192" t="s">
        <v>336</v>
      </c>
      <c r="G69" s="187">
        <f>C69*(E69/100)*(G$23/365)</f>
        <v>3.032876712</v>
      </c>
      <c r="H69" s="193" t="s">
        <v>337</v>
      </c>
      <c r="I69" s="180"/>
      <c r="J69" s="189">
        <f t="shared" si="7"/>
        <v>227.4657534</v>
      </c>
      <c r="K69" s="154"/>
      <c r="L69" s="154"/>
      <c r="M69" s="154"/>
      <c r="N69" s="154"/>
      <c r="O69" s="154"/>
      <c r="P69" s="154"/>
      <c r="Q69" s="154"/>
      <c r="R69" s="154"/>
      <c r="S69" s="154"/>
      <c r="T69" s="154"/>
      <c r="U69" s="154"/>
      <c r="V69" s="154"/>
      <c r="W69" s="154"/>
      <c r="X69" s="154"/>
      <c r="Y69" s="154"/>
      <c r="Z69" s="154"/>
    </row>
    <row r="70" ht="15.75" customHeight="1">
      <c r="A70" s="180"/>
      <c r="B70" s="175" t="s">
        <v>338</v>
      </c>
      <c r="C70" s="253">
        <f>G51</f>
        <v>46.67755</v>
      </c>
      <c r="D70" s="184" t="s">
        <v>335</v>
      </c>
      <c r="E70" s="194">
        <v>6.0</v>
      </c>
      <c r="F70" s="192" t="s">
        <v>336</v>
      </c>
      <c r="G70" s="187">
        <f>(C70)*(E70/100)*(G23/365)</f>
        <v>0.9437816959</v>
      </c>
      <c r="H70" s="193" t="s">
        <v>337</v>
      </c>
      <c r="I70" s="180"/>
      <c r="J70" s="189">
        <f t="shared" si="7"/>
        <v>70.78362719</v>
      </c>
      <c r="K70" s="154"/>
      <c r="L70" s="152" t="s">
        <v>339</v>
      </c>
      <c r="M70" s="152"/>
      <c r="N70" s="154"/>
      <c r="O70" s="154"/>
      <c r="P70" s="154"/>
      <c r="Q70" s="154"/>
      <c r="R70" s="154"/>
      <c r="S70" s="154"/>
      <c r="T70" s="154"/>
      <c r="U70" s="154"/>
      <c r="V70" s="154"/>
      <c r="W70" s="154"/>
      <c r="X70" s="154"/>
      <c r="Y70" s="154"/>
      <c r="Z70" s="154"/>
    </row>
    <row r="71" ht="15.75" customHeight="1">
      <c r="A71" s="180"/>
      <c r="B71" s="175" t="s">
        <v>29</v>
      </c>
      <c r="C71" s="195"/>
      <c r="D71" s="184"/>
      <c r="E71" s="196"/>
      <c r="F71" s="192"/>
      <c r="G71" s="187">
        <f t="shared" ref="G71:G77" si="8">J71/$I$12</f>
        <v>1</v>
      </c>
      <c r="H71" s="184" t="s">
        <v>340</v>
      </c>
      <c r="I71" s="180"/>
      <c r="J71" s="197">
        <v>75.0</v>
      </c>
      <c r="K71" s="154"/>
      <c r="L71" s="154"/>
      <c r="M71" s="154"/>
      <c r="N71" s="154"/>
      <c r="O71" s="154"/>
      <c r="P71" s="154"/>
      <c r="Q71" s="154"/>
      <c r="R71" s="154"/>
      <c r="S71" s="154"/>
      <c r="T71" s="154"/>
      <c r="U71" s="154"/>
      <c r="V71" s="154"/>
      <c r="W71" s="154"/>
      <c r="X71" s="154"/>
      <c r="Y71" s="154"/>
      <c r="Z71" s="154"/>
    </row>
    <row r="72" ht="15.75" customHeight="1">
      <c r="A72" s="180"/>
      <c r="B72" s="175" t="s">
        <v>155</v>
      </c>
      <c r="C72" s="195"/>
      <c r="D72" s="184"/>
      <c r="E72" s="198"/>
      <c r="F72" s="192"/>
      <c r="G72" s="187">
        <f t="shared" si="8"/>
        <v>5</v>
      </c>
      <c r="H72" s="184" t="s">
        <v>340</v>
      </c>
      <c r="I72" s="180"/>
      <c r="J72" s="197">
        <v>375.0</v>
      </c>
      <c r="K72" s="154"/>
      <c r="L72" s="164">
        <v>2.0</v>
      </c>
      <c r="M72" s="152" t="s">
        <v>341</v>
      </c>
      <c r="N72" s="154"/>
      <c r="O72" s="154"/>
      <c r="P72" s="154"/>
      <c r="Q72" s="154"/>
      <c r="R72" s="154"/>
      <c r="S72" s="154"/>
      <c r="T72" s="154"/>
      <c r="U72" s="154"/>
      <c r="V72" s="154"/>
      <c r="W72" s="154"/>
      <c r="X72" s="154"/>
      <c r="Y72" s="154"/>
      <c r="Z72" s="154"/>
    </row>
    <row r="73" ht="15.75" customHeight="1">
      <c r="A73" s="180"/>
      <c r="B73" s="175" t="s">
        <v>342</v>
      </c>
      <c r="C73" s="180"/>
      <c r="D73" s="196"/>
      <c r="E73" s="186"/>
      <c r="F73" s="192"/>
      <c r="G73" s="187">
        <f t="shared" si="8"/>
        <v>3</v>
      </c>
      <c r="H73" s="199" t="s">
        <v>340</v>
      </c>
      <c r="I73" s="180"/>
      <c r="J73" s="197">
        <v>225.0</v>
      </c>
      <c r="K73" s="154"/>
      <c r="L73" s="165">
        <v>35.0</v>
      </c>
      <c r="M73" s="152" t="s">
        <v>343</v>
      </c>
      <c r="N73" s="154"/>
      <c r="O73" s="154"/>
      <c r="P73" s="154"/>
      <c r="Q73" s="154"/>
      <c r="R73" s="154"/>
      <c r="S73" s="154"/>
      <c r="T73" s="154"/>
      <c r="U73" s="154"/>
      <c r="V73" s="154"/>
      <c r="W73" s="154"/>
      <c r="X73" s="154"/>
      <c r="Y73" s="154"/>
      <c r="Z73" s="154"/>
    </row>
    <row r="74" ht="15.75" customHeight="1">
      <c r="A74" s="180"/>
      <c r="B74" s="175" t="s">
        <v>344</v>
      </c>
      <c r="C74" s="180"/>
      <c r="D74" s="196"/>
      <c r="E74" s="186"/>
      <c r="F74" s="184"/>
      <c r="G74" s="187">
        <f t="shared" si="8"/>
        <v>5</v>
      </c>
      <c r="H74" s="199" t="s">
        <v>340</v>
      </c>
      <c r="I74" s="180"/>
      <c r="J74" s="197">
        <v>375.0</v>
      </c>
      <c r="K74" s="154"/>
      <c r="L74" s="166">
        <f>(L72*L73)</f>
        <v>70</v>
      </c>
      <c r="M74" s="152" t="s">
        <v>436</v>
      </c>
      <c r="N74" s="154"/>
      <c r="O74" s="154"/>
      <c r="P74" s="154"/>
      <c r="Q74" s="154"/>
      <c r="R74" s="154"/>
      <c r="S74" s="154"/>
      <c r="T74" s="154"/>
      <c r="U74" s="154"/>
      <c r="V74" s="154"/>
      <c r="W74" s="154"/>
      <c r="X74" s="154"/>
      <c r="Y74" s="154"/>
      <c r="Z74" s="154"/>
    </row>
    <row r="75" ht="15.75" customHeight="1">
      <c r="A75" s="180"/>
      <c r="B75" s="175" t="s">
        <v>346</v>
      </c>
      <c r="C75" s="196"/>
      <c r="D75" s="196"/>
      <c r="E75" s="186"/>
      <c r="F75" s="154"/>
      <c r="G75" s="190">
        <f t="shared" si="8"/>
        <v>3.5</v>
      </c>
      <c r="H75" s="192" t="s">
        <v>437</v>
      </c>
      <c r="I75" s="180"/>
      <c r="J75" s="197">
        <v>262.5</v>
      </c>
      <c r="K75" s="154"/>
      <c r="L75" s="154"/>
      <c r="M75" s="154"/>
      <c r="N75" s="154"/>
      <c r="O75" s="154"/>
      <c r="P75" s="154"/>
      <c r="Q75" s="154"/>
      <c r="R75" s="154"/>
      <c r="S75" s="154"/>
      <c r="T75" s="154"/>
      <c r="U75" s="154"/>
      <c r="V75" s="154"/>
      <c r="W75" s="154"/>
      <c r="X75" s="154"/>
      <c r="Y75" s="154"/>
      <c r="Z75" s="154"/>
    </row>
    <row r="76" ht="15.75" customHeight="1">
      <c r="A76" s="180"/>
      <c r="B76" s="175" t="s">
        <v>347</v>
      </c>
      <c r="C76" s="180"/>
      <c r="D76" s="180"/>
      <c r="E76" s="198"/>
      <c r="F76" s="154"/>
      <c r="G76" s="190">
        <f t="shared" si="8"/>
        <v>0</v>
      </c>
      <c r="H76" s="184" t="s">
        <v>437</v>
      </c>
      <c r="I76" s="180"/>
      <c r="J76" s="197">
        <v>0.0</v>
      </c>
      <c r="K76" s="154"/>
      <c r="L76" s="154"/>
      <c r="M76" s="154"/>
      <c r="N76" s="154"/>
      <c r="O76" s="154"/>
      <c r="P76" s="154"/>
      <c r="Q76" s="154"/>
      <c r="R76" s="154"/>
      <c r="S76" s="154"/>
      <c r="T76" s="154"/>
      <c r="U76" s="154"/>
      <c r="V76" s="154"/>
      <c r="W76" s="154"/>
      <c r="X76" s="154"/>
      <c r="Y76" s="154"/>
      <c r="Z76" s="154"/>
    </row>
    <row r="77" ht="15.75" customHeight="1">
      <c r="A77" s="180"/>
      <c r="B77" s="175" t="s">
        <v>348</v>
      </c>
      <c r="C77" s="180"/>
      <c r="D77" s="180"/>
      <c r="E77" s="186"/>
      <c r="F77" s="154"/>
      <c r="G77" s="190">
        <f t="shared" si="8"/>
        <v>0</v>
      </c>
      <c r="H77" s="184" t="s">
        <v>349</v>
      </c>
      <c r="I77" s="180"/>
      <c r="J77" s="197">
        <v>0.0</v>
      </c>
      <c r="K77" s="154"/>
      <c r="L77" s="154"/>
      <c r="M77" s="154"/>
      <c r="N77" s="154"/>
      <c r="O77" s="154"/>
      <c r="P77" s="154"/>
      <c r="Q77" s="154"/>
      <c r="R77" s="154"/>
      <c r="S77" s="154"/>
      <c r="T77" s="154"/>
      <c r="U77" s="154"/>
      <c r="V77" s="154"/>
      <c r="W77" s="154"/>
      <c r="X77" s="154"/>
      <c r="Y77" s="154"/>
      <c r="Z77" s="154"/>
    </row>
    <row r="78" ht="15.75" customHeight="1">
      <c r="A78" s="180"/>
      <c r="B78" s="152" t="s">
        <v>350</v>
      </c>
      <c r="C78" s="196"/>
      <c r="D78" s="196"/>
      <c r="E78" s="196"/>
      <c r="F78" s="196"/>
      <c r="G78" s="187">
        <f>SUM(G68:G77)</f>
        <v>38.13115841</v>
      </c>
      <c r="H78" s="188"/>
      <c r="I78" s="180"/>
      <c r="J78" s="189">
        <f>G78*$I$12</f>
        <v>2859.836881</v>
      </c>
      <c r="K78" s="154"/>
      <c r="L78" s="154"/>
      <c r="M78" s="154"/>
      <c r="N78" s="154"/>
      <c r="O78" s="154"/>
      <c r="P78" s="154"/>
      <c r="Q78" s="154"/>
      <c r="R78" s="154"/>
      <c r="S78" s="154"/>
      <c r="T78" s="154"/>
      <c r="U78" s="154"/>
      <c r="V78" s="154"/>
      <c r="W78" s="154"/>
      <c r="X78" s="154"/>
      <c r="Y78" s="154"/>
      <c r="Z78" s="154"/>
    </row>
    <row r="79" ht="15.75" customHeight="1">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ht="15.75" customHeight="1">
      <c r="A80" s="182" t="s">
        <v>351</v>
      </c>
      <c r="B80" s="171"/>
      <c r="C80" s="171"/>
      <c r="D80" s="171"/>
      <c r="E80" s="171"/>
      <c r="F80" s="171"/>
      <c r="G80" s="171"/>
      <c r="H80" s="171"/>
      <c r="I80" s="171"/>
      <c r="J80" s="171"/>
      <c r="K80" s="154"/>
      <c r="L80" s="154"/>
      <c r="M80" s="154"/>
      <c r="N80" s="154"/>
      <c r="O80" s="154"/>
      <c r="P80" s="154"/>
      <c r="Q80" s="154"/>
      <c r="R80" s="154"/>
      <c r="S80" s="154"/>
      <c r="T80" s="154"/>
      <c r="U80" s="154"/>
      <c r="V80" s="154"/>
      <c r="W80" s="154"/>
      <c r="X80" s="154"/>
      <c r="Y80" s="154"/>
      <c r="Z80" s="154"/>
    </row>
    <row r="81" ht="15.75" customHeight="1">
      <c r="A81" s="154"/>
      <c r="B81" s="181" t="s">
        <v>352</v>
      </c>
      <c r="C81" s="181"/>
      <c r="D81" s="181"/>
      <c r="E81" s="181"/>
      <c r="F81" s="181"/>
      <c r="G81" s="181"/>
      <c r="H81" s="154"/>
      <c r="I81" s="154"/>
      <c r="J81" s="154"/>
      <c r="K81" s="154"/>
      <c r="L81" s="154"/>
      <c r="M81" s="154"/>
      <c r="N81" s="154"/>
      <c r="O81" s="154"/>
      <c r="P81" s="154"/>
      <c r="Q81" s="154"/>
      <c r="R81" s="154"/>
      <c r="S81" s="154"/>
      <c r="T81" s="154"/>
      <c r="U81" s="154"/>
      <c r="V81" s="154"/>
      <c r="W81" s="154"/>
      <c r="X81" s="154"/>
      <c r="Y81" s="154"/>
      <c r="Z81" s="154"/>
    </row>
    <row r="82" ht="15.75" customHeight="1">
      <c r="A82" s="200"/>
      <c r="B82" s="175" t="s">
        <v>438</v>
      </c>
      <c r="C82" s="197">
        <v>0.25</v>
      </c>
      <c r="D82" s="175" t="s">
        <v>354</v>
      </c>
      <c r="E82" s="201">
        <f>'Pasture Lamb Finish Feed Cost'!D13</f>
        <v>21</v>
      </c>
      <c r="F82" s="202" t="s">
        <v>312</v>
      </c>
      <c r="G82" s="237">
        <f>C82*E82</f>
        <v>5.25</v>
      </c>
      <c r="H82" s="199" t="s">
        <v>340</v>
      </c>
      <c r="I82" s="180"/>
      <c r="J82" s="189">
        <f>G82*$I$12</f>
        <v>393.75</v>
      </c>
      <c r="K82" s="154"/>
      <c r="L82" s="154"/>
      <c r="M82" s="154"/>
      <c r="N82" s="154"/>
      <c r="O82" s="154"/>
      <c r="P82" s="154"/>
      <c r="Q82" s="154"/>
      <c r="R82" s="154"/>
      <c r="S82" s="154"/>
      <c r="T82" s="154"/>
      <c r="U82" s="154"/>
      <c r="V82" s="154"/>
      <c r="W82" s="154"/>
      <c r="X82" s="154"/>
      <c r="Y82" s="154"/>
      <c r="Z82" s="154"/>
    </row>
    <row r="83" ht="15.75" customHeight="1">
      <c r="A83" s="200"/>
      <c r="B83" s="175" t="s">
        <v>439</v>
      </c>
      <c r="C83" s="203"/>
      <c r="D83" s="175"/>
      <c r="E83" s="204"/>
      <c r="F83" s="202"/>
      <c r="G83" s="199"/>
      <c r="H83" s="199"/>
      <c r="I83" s="180"/>
      <c r="J83" s="203"/>
      <c r="K83" s="154"/>
      <c r="L83" s="154"/>
      <c r="M83" s="154"/>
      <c r="N83" s="154"/>
      <c r="O83" s="154"/>
      <c r="P83" s="154"/>
      <c r="Q83" s="154"/>
      <c r="R83" s="154"/>
      <c r="S83" s="154"/>
      <c r="T83" s="154"/>
      <c r="U83" s="154"/>
      <c r="V83" s="154"/>
      <c r="W83" s="154"/>
      <c r="X83" s="154"/>
      <c r="Y83" s="154"/>
      <c r="Z83" s="154"/>
    </row>
    <row r="84" ht="15.75" customHeight="1">
      <c r="A84" s="182" t="s">
        <v>356</v>
      </c>
      <c r="B84" s="171"/>
      <c r="C84" s="171"/>
      <c r="D84" s="171"/>
      <c r="E84" s="171"/>
      <c r="F84" s="171"/>
      <c r="G84" s="171"/>
      <c r="H84" s="171"/>
      <c r="I84" s="171"/>
      <c r="J84" s="171"/>
      <c r="K84" s="154"/>
      <c r="L84" s="154"/>
      <c r="M84" s="154"/>
      <c r="N84" s="154"/>
      <c r="O84" s="154"/>
      <c r="P84" s="154"/>
      <c r="Q84" s="154"/>
      <c r="R84" s="154"/>
      <c r="S84" s="154"/>
      <c r="T84" s="154"/>
      <c r="U84" s="154"/>
      <c r="V84" s="154"/>
      <c r="W84" s="154"/>
      <c r="X84" s="154"/>
      <c r="Y84" s="154"/>
      <c r="Z84" s="154"/>
    </row>
    <row r="85" ht="15.75" customHeight="1">
      <c r="A85" s="154"/>
      <c r="B85" s="181" t="s">
        <v>357</v>
      </c>
      <c r="C85" s="181"/>
      <c r="D85" s="181"/>
      <c r="E85" s="181"/>
      <c r="F85" s="181"/>
      <c r="G85" s="181"/>
      <c r="H85" s="181"/>
      <c r="I85" s="181"/>
      <c r="J85" s="154"/>
      <c r="K85" s="154"/>
      <c r="L85" s="154"/>
      <c r="M85" s="154"/>
      <c r="N85" s="154"/>
      <c r="O85" s="154"/>
      <c r="P85" s="154"/>
      <c r="Q85" s="154"/>
      <c r="R85" s="154"/>
      <c r="S85" s="154"/>
      <c r="T85" s="154"/>
      <c r="U85" s="154"/>
      <c r="V85" s="154"/>
      <c r="W85" s="154"/>
      <c r="X85" s="154"/>
      <c r="Y85" s="154"/>
      <c r="Z85" s="154"/>
    </row>
    <row r="86" ht="15.75" customHeight="1">
      <c r="A86" s="154"/>
      <c r="B86" s="152" t="s">
        <v>356</v>
      </c>
      <c r="C86" s="154"/>
      <c r="D86" s="154"/>
      <c r="E86" s="154"/>
      <c r="F86" s="154"/>
      <c r="G86" s="206">
        <f>(G51+G64+G78+G82)/G22</f>
        <v>0.9061204174</v>
      </c>
      <c r="H86" s="152" t="s">
        <v>358</v>
      </c>
      <c r="I86" s="154"/>
      <c r="J86" s="154"/>
      <c r="K86" s="154"/>
      <c r="L86" s="154"/>
      <c r="M86" s="154"/>
      <c r="N86" s="154"/>
      <c r="O86" s="154"/>
      <c r="P86" s="154"/>
      <c r="Q86" s="154"/>
      <c r="R86" s="154"/>
      <c r="S86" s="154"/>
      <c r="T86" s="154"/>
      <c r="U86" s="154"/>
      <c r="V86" s="154"/>
      <c r="W86" s="154"/>
      <c r="X86" s="154"/>
      <c r="Y86" s="154"/>
      <c r="Z86" s="154"/>
    </row>
    <row r="87" ht="15.75" customHeight="1">
      <c r="A87" s="154"/>
      <c r="B87" s="152"/>
      <c r="C87" s="154"/>
      <c r="D87" s="154"/>
      <c r="E87" s="154"/>
      <c r="F87" s="154"/>
      <c r="G87" s="205"/>
      <c r="H87" s="152"/>
      <c r="I87" s="154"/>
      <c r="J87" s="154"/>
      <c r="K87" s="154"/>
      <c r="L87" s="154"/>
      <c r="M87" s="154"/>
      <c r="N87" s="154"/>
      <c r="O87" s="154"/>
      <c r="P87" s="154"/>
      <c r="Q87" s="154"/>
      <c r="R87" s="154"/>
      <c r="S87" s="154"/>
      <c r="T87" s="154"/>
      <c r="U87" s="154"/>
      <c r="V87" s="154"/>
      <c r="W87" s="154"/>
      <c r="X87" s="154"/>
      <c r="Y87" s="154"/>
      <c r="Z87" s="154"/>
    </row>
    <row r="88" ht="15.75" customHeight="1">
      <c r="A88" s="182" t="s">
        <v>359</v>
      </c>
      <c r="B88" s="171"/>
      <c r="C88" s="171"/>
      <c r="D88" s="171"/>
      <c r="E88" s="171"/>
      <c r="F88" s="171"/>
      <c r="G88" s="171"/>
      <c r="H88" s="171"/>
      <c r="I88" s="171"/>
      <c r="J88" s="171"/>
      <c r="K88" s="154"/>
      <c r="L88" s="154"/>
      <c r="M88" s="154"/>
      <c r="N88" s="154"/>
      <c r="O88" s="154"/>
      <c r="P88" s="154"/>
      <c r="Q88" s="154"/>
      <c r="R88" s="154"/>
      <c r="S88" s="154"/>
      <c r="T88" s="154"/>
      <c r="U88" s="154"/>
      <c r="V88" s="154"/>
      <c r="W88" s="154"/>
      <c r="X88" s="154"/>
      <c r="Y88" s="154"/>
      <c r="Z88" s="154"/>
    </row>
    <row r="89" ht="15.75" customHeight="1">
      <c r="A89" s="154"/>
      <c r="B89" s="152" t="s">
        <v>360</v>
      </c>
      <c r="C89" s="154"/>
      <c r="D89" s="154"/>
      <c r="E89" s="154"/>
      <c r="F89" s="154"/>
      <c r="G89" s="166">
        <f>G12+G13</f>
        <v>333.09</v>
      </c>
      <c r="H89" s="152" t="s">
        <v>340</v>
      </c>
      <c r="I89" s="154"/>
      <c r="J89" s="166">
        <f t="shared" ref="J89:J93" si="9">G89*$I$12</f>
        <v>24981.75</v>
      </c>
      <c r="K89" s="154"/>
      <c r="L89" s="154"/>
      <c r="M89" s="154"/>
      <c r="N89" s="154"/>
      <c r="O89" s="154"/>
      <c r="P89" s="154"/>
      <c r="Q89" s="154"/>
      <c r="R89" s="154"/>
      <c r="S89" s="154"/>
      <c r="T89" s="154"/>
      <c r="U89" s="154"/>
      <c r="V89" s="154"/>
      <c r="W89" s="154"/>
      <c r="X89" s="154"/>
      <c r="Y89" s="154"/>
      <c r="Z89" s="154"/>
    </row>
    <row r="90" ht="15.75" customHeight="1">
      <c r="A90" s="154"/>
      <c r="B90" s="152" t="s">
        <v>440</v>
      </c>
      <c r="C90" s="154"/>
      <c r="D90" s="154"/>
      <c r="E90" s="154"/>
      <c r="F90" s="154"/>
      <c r="G90" s="166">
        <f>G19+G51+G64+G78-G34</f>
        <v>226.6953751</v>
      </c>
      <c r="H90" s="152" t="s">
        <v>340</v>
      </c>
      <c r="I90" s="154"/>
      <c r="J90" s="166">
        <f t="shared" si="9"/>
        <v>17002.15313</v>
      </c>
      <c r="K90" s="154"/>
      <c r="L90" s="154"/>
      <c r="M90" s="154"/>
      <c r="N90" s="154"/>
      <c r="O90" s="154"/>
      <c r="P90" s="154"/>
      <c r="Q90" s="154"/>
      <c r="R90" s="154"/>
      <c r="S90" s="154"/>
      <c r="T90" s="154"/>
      <c r="U90" s="154"/>
      <c r="V90" s="154"/>
      <c r="W90" s="154"/>
      <c r="X90" s="154"/>
      <c r="Y90" s="154"/>
      <c r="Z90" s="154"/>
    </row>
    <row r="91" ht="15.75" customHeight="1">
      <c r="A91" s="154"/>
      <c r="B91" s="152" t="s">
        <v>362</v>
      </c>
      <c r="C91" s="154"/>
      <c r="D91" s="154"/>
      <c r="E91" s="154"/>
      <c r="F91" s="154"/>
      <c r="G91" s="206">
        <f>G89-G90</f>
        <v>106.3946249</v>
      </c>
      <c r="H91" s="152" t="s">
        <v>340</v>
      </c>
      <c r="I91" s="154"/>
      <c r="J91" s="206">
        <f t="shared" si="9"/>
        <v>7979.596869</v>
      </c>
      <c r="K91" s="154"/>
      <c r="L91" s="154"/>
      <c r="M91" s="154"/>
      <c r="N91" s="154"/>
      <c r="O91" s="154"/>
      <c r="P91" s="154"/>
      <c r="Q91" s="154"/>
      <c r="R91" s="154"/>
      <c r="S91" s="154"/>
      <c r="T91" s="154"/>
      <c r="U91" s="154"/>
      <c r="V91" s="154"/>
      <c r="W91" s="154"/>
      <c r="X91" s="154"/>
      <c r="Y91" s="154"/>
      <c r="Z91" s="154"/>
    </row>
    <row r="92" ht="15.75" customHeight="1">
      <c r="A92" s="154"/>
      <c r="B92" s="152" t="s">
        <v>363</v>
      </c>
      <c r="C92" s="154"/>
      <c r="D92" s="154"/>
      <c r="E92" s="154"/>
      <c r="F92" s="154"/>
      <c r="G92" s="206">
        <f>G82+G34</f>
        <v>13.91666667</v>
      </c>
      <c r="H92" s="152" t="s">
        <v>340</v>
      </c>
      <c r="I92" s="154"/>
      <c r="J92" s="166">
        <f t="shared" si="9"/>
        <v>1043.75</v>
      </c>
      <c r="K92" s="154"/>
      <c r="L92" s="154"/>
      <c r="M92" s="154"/>
      <c r="N92" s="154"/>
      <c r="O92" s="154"/>
      <c r="P92" s="154"/>
      <c r="Q92" s="154"/>
      <c r="R92" s="154"/>
      <c r="S92" s="154"/>
      <c r="T92" s="154"/>
      <c r="U92" s="154"/>
      <c r="V92" s="154"/>
      <c r="W92" s="154"/>
      <c r="X92" s="154"/>
      <c r="Y92" s="154"/>
      <c r="Z92" s="154"/>
    </row>
    <row r="93" ht="15.75" customHeight="1">
      <c r="A93" s="154"/>
      <c r="B93" s="152" t="s">
        <v>364</v>
      </c>
      <c r="C93" s="154"/>
      <c r="D93" s="154"/>
      <c r="E93" s="154"/>
      <c r="F93" s="154"/>
      <c r="G93" s="206">
        <f>G91-G92</f>
        <v>92.47795826</v>
      </c>
      <c r="H93" s="152" t="s">
        <v>340</v>
      </c>
      <c r="I93" s="154"/>
      <c r="J93" s="206">
        <f t="shared" si="9"/>
        <v>6935.846869</v>
      </c>
      <c r="K93" s="154"/>
      <c r="L93" s="154"/>
      <c r="M93" s="154"/>
      <c r="N93" s="154"/>
      <c r="O93" s="154"/>
      <c r="P93" s="154"/>
      <c r="Q93" s="154"/>
      <c r="R93" s="154"/>
      <c r="S93" s="154"/>
      <c r="T93" s="154"/>
      <c r="U93" s="154"/>
      <c r="V93" s="154"/>
      <c r="W93" s="154"/>
      <c r="X93" s="154"/>
      <c r="Y93" s="154"/>
      <c r="Z93" s="154"/>
    </row>
    <row r="94" ht="15.75" customHeight="1">
      <c r="A94" s="154"/>
      <c r="B94" s="152"/>
      <c r="C94" s="154"/>
      <c r="D94" s="154"/>
      <c r="E94" s="154"/>
      <c r="F94" s="154"/>
      <c r="G94" s="168"/>
      <c r="H94" s="152"/>
      <c r="I94" s="154"/>
      <c r="J94" s="168"/>
      <c r="K94" s="154"/>
      <c r="L94" s="154"/>
      <c r="M94" s="154"/>
      <c r="N94" s="154"/>
      <c r="O94" s="154"/>
      <c r="P94" s="154"/>
      <c r="Q94" s="154"/>
      <c r="R94" s="154"/>
      <c r="S94" s="154"/>
      <c r="T94" s="154"/>
      <c r="U94" s="154"/>
      <c r="V94" s="154"/>
      <c r="W94" s="154"/>
      <c r="X94" s="154"/>
      <c r="Y94" s="154"/>
      <c r="Z94" s="154"/>
    </row>
    <row r="95" ht="15.75" customHeight="1">
      <c r="A95" s="182" t="s">
        <v>365</v>
      </c>
      <c r="B95" s="171"/>
      <c r="C95" s="171"/>
      <c r="D95" s="171"/>
      <c r="E95" s="171"/>
      <c r="F95" s="171"/>
      <c r="G95" s="171"/>
      <c r="H95" s="171"/>
      <c r="I95" s="171"/>
      <c r="J95" s="171"/>
      <c r="K95" s="154"/>
      <c r="L95" s="154"/>
      <c r="M95" s="154"/>
      <c r="N95" s="154"/>
      <c r="O95" s="154"/>
      <c r="P95" s="154"/>
      <c r="Q95" s="154"/>
      <c r="R95" s="154"/>
      <c r="S95" s="154"/>
      <c r="T95" s="154"/>
      <c r="U95" s="154"/>
      <c r="V95" s="154"/>
      <c r="W95" s="154"/>
      <c r="X95" s="154"/>
      <c r="Y95" s="154"/>
      <c r="Z95" s="154"/>
    </row>
    <row r="96" ht="15.75" customHeight="1">
      <c r="A96" s="154"/>
      <c r="B96" s="152" t="s">
        <v>366</v>
      </c>
      <c r="C96" s="154"/>
      <c r="D96" s="154"/>
      <c r="E96" s="154"/>
      <c r="F96" s="154"/>
      <c r="G96" s="166">
        <f>(G90+G92)/C12</f>
        <v>1.604080278</v>
      </c>
      <c r="H96" s="152" t="s">
        <v>296</v>
      </c>
      <c r="I96" s="154"/>
      <c r="J96" s="154"/>
      <c r="K96" s="154"/>
      <c r="L96" s="154"/>
      <c r="M96" s="154"/>
      <c r="N96" s="154"/>
      <c r="O96" s="154"/>
      <c r="P96" s="154"/>
      <c r="Q96" s="154"/>
      <c r="R96" s="154"/>
      <c r="S96" s="154"/>
      <c r="T96" s="154"/>
      <c r="U96" s="154"/>
      <c r="V96" s="154"/>
      <c r="W96" s="154"/>
      <c r="X96" s="154"/>
      <c r="Y96" s="154"/>
      <c r="Z96" s="154"/>
    </row>
    <row r="97" ht="15.75" customHeight="1">
      <c r="A97" s="154"/>
      <c r="B97" s="152" t="s">
        <v>367</v>
      </c>
      <c r="C97" s="154"/>
      <c r="D97" s="154"/>
      <c r="E97" s="154"/>
      <c r="F97" s="154"/>
      <c r="G97" s="166">
        <f>(G90+G92-G75)/C12</f>
        <v>1.580746945</v>
      </c>
      <c r="H97" s="152" t="s">
        <v>296</v>
      </c>
      <c r="I97" s="154"/>
      <c r="J97" s="154"/>
      <c r="K97" s="154"/>
      <c r="L97" s="154"/>
      <c r="M97" s="154"/>
      <c r="N97" s="154"/>
      <c r="O97" s="154"/>
      <c r="P97" s="154"/>
      <c r="Q97" s="154"/>
      <c r="R97" s="154"/>
      <c r="S97" s="154"/>
      <c r="T97" s="154"/>
      <c r="U97" s="154"/>
      <c r="V97" s="154"/>
      <c r="W97" s="154"/>
      <c r="X97" s="154"/>
      <c r="Y97" s="154"/>
      <c r="Z97" s="154"/>
    </row>
    <row r="98" ht="15.75" customHeight="1">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ht="15.75" customHeight="1">
      <c r="A99" s="154"/>
      <c r="B99" s="152" t="s">
        <v>368</v>
      </c>
      <c r="C99" s="154"/>
      <c r="D99" s="154"/>
      <c r="E99" s="154"/>
      <c r="F99" s="154"/>
      <c r="G99" s="166">
        <f>(G89-G51-G64-G78-G82)/C19</f>
        <v>4.849559165</v>
      </c>
      <c r="H99" s="152" t="s">
        <v>441</v>
      </c>
      <c r="I99" s="154"/>
      <c r="J99" s="154"/>
      <c r="K99" s="154"/>
      <c r="L99" s="154"/>
      <c r="M99" s="154"/>
      <c r="N99" s="154"/>
      <c r="O99" s="154"/>
      <c r="P99" s="154"/>
      <c r="Q99" s="154"/>
      <c r="R99" s="154"/>
      <c r="S99" s="154"/>
      <c r="T99" s="154"/>
      <c r="U99" s="154"/>
      <c r="V99" s="154"/>
      <c r="W99" s="154"/>
      <c r="X99" s="154"/>
      <c r="Y99" s="154"/>
      <c r="Z99" s="154"/>
    </row>
    <row r="100" ht="15.75" customHeight="1">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ht="15.75" customHeight="1">
      <c r="A101" s="154"/>
      <c r="B101" s="154"/>
      <c r="C101" s="154"/>
      <c r="D101" s="154"/>
      <c r="E101" s="154"/>
      <c r="F101" s="154"/>
      <c r="G101" s="154"/>
      <c r="H101" s="154"/>
      <c r="I101" s="154"/>
      <c r="J101" s="154"/>
      <c r="K101" s="158" t="s">
        <v>75</v>
      </c>
      <c r="L101" s="207"/>
      <c r="M101" s="207"/>
      <c r="N101" s="207"/>
      <c r="O101" s="207"/>
      <c r="P101" s="207"/>
      <c r="Q101" s="207"/>
      <c r="R101" s="207"/>
      <c r="S101" s="207"/>
      <c r="T101" s="154"/>
      <c r="U101" s="154"/>
      <c r="V101" s="154"/>
      <c r="W101" s="154"/>
      <c r="X101" s="154"/>
      <c r="Y101" s="154"/>
      <c r="Z101" s="154"/>
    </row>
    <row r="102" ht="15.75" customHeight="1">
      <c r="A102" s="154"/>
      <c r="B102" s="154"/>
      <c r="C102" s="154"/>
      <c r="D102" s="154"/>
      <c r="E102" s="154"/>
      <c r="F102" s="154"/>
      <c r="G102" s="154"/>
      <c r="H102" s="154"/>
      <c r="I102" s="154"/>
      <c r="J102" s="154"/>
      <c r="K102" s="152" t="s">
        <v>265</v>
      </c>
      <c r="L102" s="152"/>
      <c r="M102" s="152"/>
      <c r="N102" s="152"/>
      <c r="O102" s="152"/>
      <c r="P102" s="152"/>
      <c r="Q102" s="152"/>
      <c r="R102" s="152"/>
      <c r="S102" s="152"/>
      <c r="T102" s="154"/>
      <c r="U102" s="154"/>
      <c r="V102" s="154"/>
      <c r="W102" s="154"/>
      <c r="X102" s="154"/>
      <c r="Y102" s="154"/>
      <c r="Z102" s="154"/>
    </row>
    <row r="103" ht="15.75" customHeight="1">
      <c r="A103" s="154"/>
      <c r="B103" s="154"/>
      <c r="C103" s="154"/>
      <c r="D103" s="154"/>
      <c r="E103" s="154"/>
      <c r="F103" s="154"/>
      <c r="G103" s="154"/>
      <c r="H103" s="154"/>
      <c r="I103" s="154"/>
      <c r="J103" s="154"/>
      <c r="K103" s="154"/>
      <c r="L103" s="152" t="s">
        <v>369</v>
      </c>
      <c r="M103" s="208">
        <v>-0.15</v>
      </c>
      <c r="N103" s="208">
        <v>-0.1</v>
      </c>
      <c r="O103" s="208">
        <v>-0.05</v>
      </c>
      <c r="P103" s="209"/>
      <c r="Q103" s="208">
        <v>0.05</v>
      </c>
      <c r="R103" s="208">
        <v>0.1</v>
      </c>
      <c r="S103" s="208">
        <v>0.15</v>
      </c>
      <c r="T103" s="154"/>
      <c r="U103" s="154"/>
      <c r="V103" s="154"/>
      <c r="W103" s="154"/>
      <c r="X103" s="154"/>
      <c r="Y103" s="154"/>
      <c r="Z103" s="154"/>
    </row>
    <row r="104" ht="15.75" customHeight="1">
      <c r="A104" s="154"/>
      <c r="B104" s="154"/>
      <c r="C104" s="154"/>
      <c r="D104" s="154"/>
      <c r="E104" s="154"/>
      <c r="F104" s="154"/>
      <c r="G104" s="154"/>
      <c r="H104" s="154"/>
      <c r="I104" s="154"/>
      <c r="J104" s="154"/>
      <c r="K104" s="154"/>
      <c r="L104" s="210" t="s">
        <v>370</v>
      </c>
      <c r="M104" s="211">
        <f>P104*(1+M103)</f>
        <v>1.363468237</v>
      </c>
      <c r="N104" s="211">
        <f>P104*(1+N103)</f>
        <v>1.44367225</v>
      </c>
      <c r="O104" s="211">
        <f>P104*(1+O103)</f>
        <v>1.523876264</v>
      </c>
      <c r="P104" s="212">
        <f>G96</f>
        <v>1.604080278</v>
      </c>
      <c r="Q104" s="211">
        <f>P104*(1+Q103)</f>
        <v>1.684284292</v>
      </c>
      <c r="R104" s="211">
        <f>P104*(1+R103)</f>
        <v>1.764488306</v>
      </c>
      <c r="S104" s="211">
        <f>P104*(1+S103)</f>
        <v>1.84469232</v>
      </c>
      <c r="T104" s="154"/>
      <c r="U104" s="154"/>
      <c r="V104" s="154"/>
      <c r="W104" s="154"/>
      <c r="X104" s="154"/>
      <c r="Y104" s="154"/>
      <c r="Z104" s="154"/>
    </row>
    <row r="105" ht="15.75" customHeight="1">
      <c r="A105" s="153"/>
      <c r="B105" s="153"/>
      <c r="C105" s="153"/>
      <c r="D105" s="153"/>
      <c r="E105" s="153"/>
      <c r="F105" s="153"/>
      <c r="G105" s="153"/>
      <c r="H105" s="153"/>
      <c r="I105" s="153"/>
      <c r="J105" s="153"/>
      <c r="K105" s="213">
        <v>-0.15</v>
      </c>
      <c r="L105" s="211">
        <f t="shared" ref="L105:L107" si="10">$L$108*(1+K105)</f>
        <v>0.2645061167</v>
      </c>
      <c r="M105" s="214">
        <f t="shared" ref="M105:M111" si="11">$M$104-L105-(($G$19+$G$64+$G$78+$G$82)/$C$12)</f>
        <v>-0.1939344917</v>
      </c>
      <c r="N105" s="214">
        <f t="shared" ref="N105:N111" si="12">$N$104-L105-(($G$19+$G$64+$G$78+$G$82)/$C$12)</f>
        <v>-0.1137304778</v>
      </c>
      <c r="O105" s="214">
        <f t="shared" ref="O105:O111" si="13">$O$104-L105-(($G$19+$G$64+$G$78+$G$82)/$C$12)</f>
        <v>-0.03352646391</v>
      </c>
      <c r="P105" s="214">
        <f t="shared" ref="P105:P111" si="14">$P$104-L105-(($G$19+$G$64+$G$78+$G$82)/$C$12)</f>
        <v>0.04667755</v>
      </c>
      <c r="Q105" s="214">
        <f t="shared" ref="Q105:Q111" si="15">$Q$104-L105-(($G$19+$G$64+$G$78+$G$82)/$C$12)</f>
        <v>0.1268815639</v>
      </c>
      <c r="R105" s="214">
        <f t="shared" ref="R105:R111" si="16">$R$104-L105-(($G$19+$G$64+$G$78+$G$82)/$C$12)</f>
        <v>0.2070855778</v>
      </c>
      <c r="S105" s="214">
        <f t="shared" ref="S105:S111" si="17">$S$104-L105-(($G$19+$G$64+$G$78+$G$82)/$C$12)</f>
        <v>0.2872895917</v>
      </c>
      <c r="T105" s="153"/>
      <c r="U105" s="153"/>
      <c r="V105" s="153"/>
      <c r="W105" s="153"/>
      <c r="X105" s="153"/>
      <c r="Y105" s="153"/>
      <c r="Z105" s="153"/>
    </row>
    <row r="106" ht="15.75" customHeight="1">
      <c r="A106" s="153"/>
      <c r="B106" s="153"/>
      <c r="C106" s="153"/>
      <c r="D106" s="153"/>
      <c r="E106" s="153"/>
      <c r="F106" s="153"/>
      <c r="G106" s="153"/>
      <c r="H106" s="153"/>
      <c r="I106" s="153"/>
      <c r="J106" s="153"/>
      <c r="K106" s="213">
        <v>-0.1</v>
      </c>
      <c r="L106" s="211">
        <f t="shared" si="10"/>
        <v>0.2800653</v>
      </c>
      <c r="M106" s="214">
        <f t="shared" si="11"/>
        <v>-0.2094936751</v>
      </c>
      <c r="N106" s="214">
        <f t="shared" si="12"/>
        <v>-0.1292896612</v>
      </c>
      <c r="O106" s="214">
        <f t="shared" si="13"/>
        <v>-0.04908564725</v>
      </c>
      <c r="P106" s="214">
        <f t="shared" si="14"/>
        <v>0.03111836667</v>
      </c>
      <c r="Q106" s="214">
        <f t="shared" si="15"/>
        <v>0.1113223806</v>
      </c>
      <c r="R106" s="214">
        <f t="shared" si="16"/>
        <v>0.1915263945</v>
      </c>
      <c r="S106" s="214">
        <f t="shared" si="17"/>
        <v>0.2717304084</v>
      </c>
      <c r="T106" s="153"/>
      <c r="U106" s="153"/>
      <c r="V106" s="153"/>
      <c r="W106" s="153"/>
      <c r="X106" s="153"/>
      <c r="Y106" s="153"/>
      <c r="Z106" s="153"/>
    </row>
    <row r="107" ht="15.75" customHeight="1">
      <c r="A107" s="153"/>
      <c r="B107" s="153"/>
      <c r="C107" s="153"/>
      <c r="D107" s="153"/>
      <c r="E107" s="153"/>
      <c r="F107" s="153"/>
      <c r="G107" s="153"/>
      <c r="H107" s="153"/>
      <c r="I107" s="153"/>
      <c r="J107" s="153"/>
      <c r="K107" s="213">
        <v>-0.05</v>
      </c>
      <c r="L107" s="211">
        <f t="shared" si="10"/>
        <v>0.2956244833</v>
      </c>
      <c r="M107" s="214">
        <f t="shared" si="11"/>
        <v>-0.2250528584</v>
      </c>
      <c r="N107" s="214">
        <f t="shared" si="12"/>
        <v>-0.1448488445</v>
      </c>
      <c r="O107" s="214">
        <f t="shared" si="13"/>
        <v>-0.06464483058</v>
      </c>
      <c r="P107" s="214">
        <f t="shared" si="14"/>
        <v>0.01555918333</v>
      </c>
      <c r="Q107" s="214">
        <f t="shared" si="15"/>
        <v>0.09576319725</v>
      </c>
      <c r="R107" s="214">
        <f t="shared" si="16"/>
        <v>0.1759672112</v>
      </c>
      <c r="S107" s="214">
        <f t="shared" si="17"/>
        <v>0.2561712251</v>
      </c>
      <c r="T107" s="153"/>
      <c r="U107" s="153"/>
      <c r="V107" s="153"/>
      <c r="W107" s="153"/>
      <c r="X107" s="153"/>
      <c r="Y107" s="153"/>
      <c r="Z107" s="153"/>
    </row>
    <row r="108" ht="15.75" customHeight="1">
      <c r="A108" s="153"/>
      <c r="B108" s="153"/>
      <c r="C108" s="153"/>
      <c r="D108" s="153"/>
      <c r="E108" s="153"/>
      <c r="F108" s="153"/>
      <c r="G108" s="153"/>
      <c r="H108" s="153"/>
      <c r="I108" s="153"/>
      <c r="J108" s="153"/>
      <c r="K108" s="215"/>
      <c r="L108" s="212">
        <f>G51/C12</f>
        <v>0.3111836667</v>
      </c>
      <c r="M108" s="214">
        <f t="shared" si="11"/>
        <v>-0.2406120417</v>
      </c>
      <c r="N108" s="214">
        <f t="shared" si="12"/>
        <v>-0.1604080278</v>
      </c>
      <c r="O108" s="214">
        <f t="shared" si="13"/>
        <v>-0.08020401391</v>
      </c>
      <c r="P108" s="212">
        <f t="shared" si="14"/>
        <v>0</v>
      </c>
      <c r="Q108" s="214">
        <f t="shared" si="15"/>
        <v>0.08020401391</v>
      </c>
      <c r="R108" s="214">
        <f t="shared" si="16"/>
        <v>0.1604080278</v>
      </c>
      <c r="S108" s="214">
        <f t="shared" si="17"/>
        <v>0.2406120417</v>
      </c>
      <c r="T108" s="153"/>
      <c r="U108" s="153"/>
      <c r="V108" s="153"/>
      <c r="W108" s="153"/>
      <c r="X108" s="153"/>
      <c r="Y108" s="153"/>
      <c r="Z108" s="153"/>
    </row>
    <row r="109" ht="15.75" customHeight="1">
      <c r="A109" s="153"/>
      <c r="B109" s="153"/>
      <c r="C109" s="153"/>
      <c r="D109" s="153"/>
      <c r="E109" s="153"/>
      <c r="F109" s="153"/>
      <c r="G109" s="153"/>
      <c r="H109" s="153"/>
      <c r="I109" s="153"/>
      <c r="J109" s="153"/>
      <c r="K109" s="213">
        <v>0.05</v>
      </c>
      <c r="L109" s="211">
        <f t="shared" ref="L109:L111" si="18">$L$108*(1+K109)</f>
        <v>0.32674285</v>
      </c>
      <c r="M109" s="214">
        <f t="shared" si="11"/>
        <v>-0.2561712251</v>
      </c>
      <c r="N109" s="214">
        <f t="shared" si="12"/>
        <v>-0.1759672112</v>
      </c>
      <c r="O109" s="214">
        <f t="shared" si="13"/>
        <v>-0.09576319725</v>
      </c>
      <c r="P109" s="214">
        <f t="shared" si="14"/>
        <v>-0.01555918333</v>
      </c>
      <c r="Q109" s="214">
        <f t="shared" si="15"/>
        <v>0.06464483058</v>
      </c>
      <c r="R109" s="214">
        <f t="shared" si="16"/>
        <v>0.1448488445</v>
      </c>
      <c r="S109" s="214">
        <f t="shared" si="17"/>
        <v>0.2250528584</v>
      </c>
      <c r="T109" s="153"/>
      <c r="U109" s="153"/>
      <c r="V109" s="153"/>
      <c r="W109" s="153"/>
      <c r="X109" s="153"/>
      <c r="Y109" s="153"/>
      <c r="Z109" s="153"/>
    </row>
    <row r="110" ht="15.75" customHeight="1">
      <c r="A110" s="153"/>
      <c r="B110" s="153"/>
      <c r="C110" s="153"/>
      <c r="D110" s="153"/>
      <c r="E110" s="153"/>
      <c r="F110" s="153"/>
      <c r="G110" s="153"/>
      <c r="H110" s="153"/>
      <c r="I110" s="153"/>
      <c r="J110" s="153"/>
      <c r="K110" s="213">
        <v>0.1</v>
      </c>
      <c r="L110" s="211">
        <f t="shared" si="18"/>
        <v>0.3423020333</v>
      </c>
      <c r="M110" s="214">
        <f t="shared" si="11"/>
        <v>-0.2717304084</v>
      </c>
      <c r="N110" s="214">
        <f t="shared" si="12"/>
        <v>-0.1915263945</v>
      </c>
      <c r="O110" s="214">
        <f t="shared" si="13"/>
        <v>-0.1113223806</v>
      </c>
      <c r="P110" s="214">
        <f t="shared" si="14"/>
        <v>-0.03111836667</v>
      </c>
      <c r="Q110" s="214">
        <f t="shared" si="15"/>
        <v>0.04908564725</v>
      </c>
      <c r="R110" s="214">
        <f t="shared" si="16"/>
        <v>0.1292896612</v>
      </c>
      <c r="S110" s="214">
        <f t="shared" si="17"/>
        <v>0.2094936751</v>
      </c>
      <c r="T110" s="153"/>
      <c r="U110" s="153"/>
      <c r="V110" s="153"/>
      <c r="W110" s="153"/>
      <c r="X110" s="153"/>
      <c r="Y110" s="153"/>
      <c r="Z110" s="153"/>
    </row>
    <row r="111" ht="15.75" customHeight="1">
      <c r="A111" s="153"/>
      <c r="B111" s="153"/>
      <c r="C111" s="153"/>
      <c r="D111" s="153"/>
      <c r="E111" s="153"/>
      <c r="F111" s="153"/>
      <c r="G111" s="153"/>
      <c r="H111" s="153"/>
      <c r="I111" s="153"/>
      <c r="J111" s="153"/>
      <c r="K111" s="213">
        <v>0.15</v>
      </c>
      <c r="L111" s="211">
        <f t="shared" si="18"/>
        <v>0.3578612167</v>
      </c>
      <c r="M111" s="214">
        <f t="shared" si="11"/>
        <v>-0.2872895917</v>
      </c>
      <c r="N111" s="214">
        <f t="shared" si="12"/>
        <v>-0.2070855778</v>
      </c>
      <c r="O111" s="214">
        <f t="shared" si="13"/>
        <v>-0.1268815639</v>
      </c>
      <c r="P111" s="214">
        <f t="shared" si="14"/>
        <v>-0.04667755</v>
      </c>
      <c r="Q111" s="214">
        <f t="shared" si="15"/>
        <v>0.03352646391</v>
      </c>
      <c r="R111" s="214">
        <f t="shared" si="16"/>
        <v>0.1137304778</v>
      </c>
      <c r="S111" s="214">
        <f t="shared" si="17"/>
        <v>0.1939344917</v>
      </c>
      <c r="T111" s="153"/>
      <c r="U111" s="153"/>
      <c r="V111" s="153"/>
      <c r="W111" s="153"/>
      <c r="X111" s="153"/>
      <c r="Y111" s="153"/>
      <c r="Z111" s="153"/>
    </row>
    <row r="112" ht="15.75" customHeight="1">
      <c r="A112" s="153"/>
      <c r="B112" s="149" t="s">
        <v>277</v>
      </c>
      <c r="C112" s="16" t="s">
        <v>442</v>
      </c>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ht="15.75" customHeight="1">
      <c r="A113" s="153"/>
      <c r="B113" s="153"/>
      <c r="C113" s="150" t="s">
        <v>279</v>
      </c>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ht="15.75" customHeight="1">
      <c r="A114" s="153"/>
      <c r="B114" s="149" t="s">
        <v>280</v>
      </c>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ht="15.75" customHeight="1">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ht="15.75" customHeight="1">
      <c r="A116" s="153"/>
      <c r="B116" s="12" t="s">
        <v>372</v>
      </c>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ht="15.75" customHeight="1">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ht="15.75" customHeight="1">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ht="15.75" customHeight="1">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ht="15.75" customHeight="1">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ht="15.75" customHeight="1">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ht="15.75" customHeight="1">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ht="15.75" customHeight="1">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ht="15.75" customHeight="1">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ht="15.75" customHeight="1">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ht="15.75" customHeight="1">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ht="15.75" customHeight="1">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ht="15.75" customHeight="1">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ht="15.75" customHeight="1">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ht="15.75" customHeight="1">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ht="15.75" customHeight="1">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ht="15.75" customHeight="1">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ht="15.75" customHeight="1">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ht="15.75" customHeight="1">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ht="15.75" customHeight="1">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ht="15.75" customHeight="1">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ht="15.75" customHeight="1">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ht="15.75" customHeight="1">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ht="15.75" customHeight="1">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ht="15.75" customHeight="1">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ht="15.75" customHeight="1">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ht="15.75" customHeight="1">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ht="15.75" customHeight="1">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ht="15.75" customHeight="1">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ht="15.75" customHeight="1">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ht="15.75" customHeight="1">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ht="15.75" customHeight="1">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ht="15.75" customHeight="1">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ht="15.75" customHeight="1">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ht="15.75" customHeight="1">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ht="15.75" customHeight="1">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ht="15.75" customHeight="1">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ht="15.75" customHeight="1">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ht="15.75" customHeight="1">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ht="15.75" customHeight="1">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ht="15.75" customHeight="1">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ht="15.75" customHeight="1">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ht="15.75" customHeight="1">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ht="15.75" customHeight="1">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ht="15.75" customHeight="1">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ht="15.75" customHeight="1">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ht="15.75" customHeight="1">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ht="15.75" customHeight="1">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ht="15.75" customHeight="1">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ht="15.75" customHeight="1">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ht="15.75" customHeight="1">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ht="15.75" customHeight="1">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ht="15.75" customHeight="1">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ht="15.75" customHeight="1">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ht="15.75" customHeight="1">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ht="15.75" customHeight="1">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ht="15.75" customHeight="1">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ht="15.75" customHeight="1">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ht="15.75" customHeight="1">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ht="15.75" customHeight="1">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ht="15.75" customHeight="1">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ht="15.75" customHeight="1">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ht="15.75" customHeight="1">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ht="15.75" customHeight="1">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ht="15.75" customHeight="1">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ht="15.75" customHeight="1">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ht="15.75" customHeight="1">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ht="15.75" customHeight="1">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ht="15.75" customHeight="1">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ht="15.75" customHeight="1">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ht="15.75" customHeight="1">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ht="15.75" customHeight="1">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ht="15.75" customHeight="1">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ht="15.75" customHeight="1">
      <c r="A189" s="153"/>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ht="15.75" customHeight="1">
      <c r="A190" s="153"/>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ht="15.75" customHeight="1">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ht="15.75" customHeight="1">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ht="15.75" customHeight="1">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ht="15.75" customHeight="1">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ht="15.75" customHeight="1">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ht="15.75" customHeight="1">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ht="15.75" customHeight="1">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ht="15.75" customHeight="1">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ht="15.75" customHeight="1">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ht="15.75" customHeight="1">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ht="15.75" customHeight="1">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ht="15.75" customHeight="1">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ht="15.75" customHeight="1">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ht="15.75" customHeight="1">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ht="15.75" customHeight="1">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ht="15.75" customHeight="1">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ht="15.75" customHeight="1">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ht="15.75" customHeight="1">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ht="15.75" customHeight="1">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ht="15.75" customHeight="1">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ht="15.75" customHeight="1">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ht="15.75" customHeight="1">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ht="15.75" customHeight="1">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ht="15.75" customHeight="1">
      <c r="A214" s="153"/>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ht="15.75" customHeight="1">
      <c r="A215" s="153"/>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ht="15.75" customHeight="1">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ht="15.75" customHeight="1">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ht="15.75" customHeight="1">
      <c r="A218" s="153"/>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ht="15.75" customHeight="1">
      <c r="A219" s="153"/>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ht="15.75" customHeight="1">
      <c r="A220" s="153"/>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ht="15.75" customHeight="1">
      <c r="A221" s="153"/>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ht="15.75" customHeight="1">
      <c r="A222" s="153"/>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ht="15.75" customHeight="1">
      <c r="A223" s="153"/>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ht="15.75" customHeight="1">
      <c r="A224" s="153"/>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ht="15.75" customHeight="1">
      <c r="A225" s="153"/>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ht="15.75" customHeight="1">
      <c r="A226" s="153"/>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ht="15.75" customHeight="1">
      <c r="A227" s="153"/>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ht="15.75" customHeight="1">
      <c r="A228" s="153"/>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ht="15.75" customHeight="1">
      <c r="A229" s="153"/>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ht="15.75" customHeight="1">
      <c r="A230" s="153"/>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ht="15.75" customHeight="1">
      <c r="A231" s="153"/>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ht="15.75" customHeight="1">
      <c r="A232" s="153"/>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ht="15.75" customHeight="1">
      <c r="A233" s="153"/>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ht="15.75" customHeight="1">
      <c r="A234" s="153"/>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ht="15.75" customHeight="1">
      <c r="A235" s="153"/>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ht="15.75" customHeight="1">
      <c r="A236" s="153"/>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ht="15.75" customHeight="1">
      <c r="A237" s="153"/>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ht="15.75" customHeight="1">
      <c r="A238" s="153"/>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ht="15.75" customHeight="1">
      <c r="A239" s="153"/>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ht="15.75" customHeight="1">
      <c r="A240" s="153"/>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ht="15.75" customHeight="1">
      <c r="A241" s="153"/>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ht="15.75" customHeight="1">
      <c r="A242" s="153"/>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ht="15.75" customHeight="1">
      <c r="A243" s="153"/>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ht="15.75" customHeight="1">
      <c r="A244" s="153"/>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ht="15.75" customHeight="1">
      <c r="A245" s="153"/>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ht="15.75" customHeight="1">
      <c r="A246" s="153"/>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ht="15.75" customHeight="1">
      <c r="A247" s="153"/>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ht="15.75" customHeight="1">
      <c r="A248" s="153"/>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ht="15.75" customHeight="1">
      <c r="A249" s="153"/>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ht="15.75" customHeight="1">
      <c r="A250" s="153"/>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ht="15.75" customHeight="1">
      <c r="A251" s="153"/>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ht="15.75" customHeight="1">
      <c r="A252" s="153"/>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ht="15.75" customHeight="1">
      <c r="A253" s="153"/>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ht="15.75" customHeight="1">
      <c r="A254" s="153"/>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ht="15.75" customHeight="1">
      <c r="A255" s="153"/>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ht="15.75" customHeight="1">
      <c r="A256" s="153"/>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ht="15.75" customHeight="1">
      <c r="A257" s="153"/>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ht="15.75" customHeight="1">
      <c r="A258" s="153"/>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ht="15.75" customHeight="1">
      <c r="A259" s="153"/>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ht="15.75" customHeight="1">
      <c r="A260" s="153"/>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ht="15.75" customHeight="1">
      <c r="A261" s="153"/>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ht="15.75" customHeight="1">
      <c r="A262" s="153"/>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ht="15.75" customHeight="1">
      <c r="A263" s="153"/>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ht="15.75" customHeight="1">
      <c r="A264" s="153"/>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ht="15.75" customHeight="1">
      <c r="A265" s="153"/>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ht="15.75" customHeight="1">
      <c r="A266" s="153"/>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ht="15.75" customHeight="1">
      <c r="A267" s="153"/>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ht="15.75" customHeight="1">
      <c r="A268" s="153"/>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ht="15.75" customHeight="1">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ht="15.75" customHeight="1">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ht="15.75" customHeight="1">
      <c r="A271" s="153"/>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ht="15.75" customHeight="1">
      <c r="A272" s="153"/>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ht="15.75" customHeight="1">
      <c r="A273" s="153"/>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ht="15.75" customHeight="1">
      <c r="A274" s="153"/>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ht="15.75" customHeight="1">
      <c r="A275" s="153"/>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ht="15.75" customHeight="1">
      <c r="A276" s="153"/>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ht="15.75" customHeight="1">
      <c r="A277" s="153"/>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ht="15.75" customHeight="1">
      <c r="A278" s="153"/>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ht="15.75" customHeight="1">
      <c r="A279" s="153"/>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ht="15.75" customHeight="1">
      <c r="A280" s="153"/>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ht="15.75" customHeight="1">
      <c r="A281" s="153"/>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ht="15.75" customHeight="1">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ht="15.75" customHeight="1">
      <c r="A283" s="153"/>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ht="15.75" customHeight="1">
      <c r="A284" s="153"/>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ht="15.75" customHeight="1">
      <c r="A285" s="153"/>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ht="15.75" customHeight="1">
      <c r="A286" s="153"/>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ht="15.75" customHeight="1">
      <c r="A287" s="153"/>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ht="15.75" customHeight="1">
      <c r="A288" s="153"/>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ht="15.75" customHeight="1">
      <c r="A289" s="153"/>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ht="15.75" customHeight="1">
      <c r="A290" s="153"/>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ht="15.75" customHeight="1">
      <c r="A291" s="153"/>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ht="15.75" customHeight="1">
      <c r="A292" s="153"/>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ht="15.75" customHeight="1">
      <c r="A293" s="153"/>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ht="15.75" customHeight="1">
      <c r="A294" s="153"/>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ht="15.75" customHeight="1">
      <c r="A295" s="153"/>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ht="15.75" customHeight="1">
      <c r="A296" s="153"/>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ht="15.75" customHeight="1">
      <c r="A297" s="153"/>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ht="15.75" customHeight="1">
      <c r="A298" s="153"/>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ht="15.75" customHeight="1">
      <c r="A299" s="153"/>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ht="15.75" customHeight="1">
      <c r="A300" s="153"/>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ht="15.75" customHeight="1">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ht="15.75" customHeight="1">
      <c r="A302" s="153"/>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ht="15.75" customHeight="1">
      <c r="A303" s="153"/>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ht="15.75" customHeight="1">
      <c r="A304" s="153"/>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ht="15.75" customHeight="1">
      <c r="A305" s="153"/>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ht="15.75" customHeight="1">
      <c r="A306" s="153"/>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ht="15.75" customHeight="1">
      <c r="A307" s="153"/>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ht="15.75" customHeight="1">
      <c r="A308" s="153"/>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ht="15.75" customHeight="1">
      <c r="A309" s="153"/>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ht="15.75" customHeight="1">
      <c r="A310" s="153"/>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ht="15.75" customHeight="1">
      <c r="A311" s="153"/>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ht="15.75" customHeight="1">
      <c r="A312" s="153"/>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ht="15.75" customHeight="1">
      <c r="A313" s="153"/>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ht="15.75" customHeight="1">
      <c r="A314" s="153"/>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ht="15.75" customHeight="1">
      <c r="A315" s="153"/>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ht="15.75" customHeight="1">
      <c r="A316" s="153"/>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ht="15.75" customHeight="1">
      <c r="A317" s="153"/>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ht="15.75" customHeight="1">
      <c r="A318" s="153"/>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ht="15.75" customHeight="1">
      <c r="A319" s="153"/>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ht="15.75" customHeight="1">
      <c r="A320" s="153"/>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ht="15.75" customHeight="1">
      <c r="A321" s="153"/>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ht="15.75" customHeight="1">
      <c r="A322" s="153"/>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ht="15.75" customHeight="1">
      <c r="A323" s="153"/>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ht="15.75" customHeight="1">
      <c r="A324" s="153"/>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ht="15.75" customHeight="1">
      <c r="A325" s="153"/>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ht="15.75" customHeight="1">
      <c r="A326" s="153"/>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ht="15.75" customHeight="1">
      <c r="A327" s="153"/>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ht="15.75" customHeight="1">
      <c r="A328" s="153"/>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ht="15.75" customHeight="1">
      <c r="A329" s="153"/>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ht="15.75" customHeight="1">
      <c r="A330" s="153"/>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ht="15.75" customHeight="1">
      <c r="A331" s="153"/>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ht="15.75" customHeight="1">
      <c r="A332" s="153"/>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ht="15.75" customHeight="1">
      <c r="A333" s="153"/>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ht="15.75" customHeight="1">
      <c r="A334" s="153"/>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ht="15.75" customHeight="1">
      <c r="A335" s="153"/>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ht="15.75" customHeight="1">
      <c r="A336" s="153"/>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ht="15.75" customHeight="1">
      <c r="A337" s="153"/>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ht="15.75" customHeight="1">
      <c r="A338" s="153"/>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ht="15.75" customHeight="1">
      <c r="A339" s="153"/>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ht="15.75" customHeight="1">
      <c r="A340" s="153"/>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ht="15.75" customHeight="1">
      <c r="A341" s="153"/>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ht="15.75" customHeight="1">
      <c r="A342" s="153"/>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ht="15.75" customHeight="1">
      <c r="A343" s="153"/>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ht="15.75" customHeight="1">
      <c r="A344" s="153"/>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ht="15.75" customHeight="1">
      <c r="A345" s="153"/>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ht="15.75" customHeight="1">
      <c r="A346" s="153"/>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ht="15.75" customHeight="1">
      <c r="A347" s="153"/>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ht="15.75" customHeight="1">
      <c r="A348" s="153"/>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ht="15.75" customHeight="1">
      <c r="A349" s="153"/>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ht="15.75" customHeight="1">
      <c r="A350" s="153"/>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ht="15.75" customHeight="1">
      <c r="A351" s="153"/>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ht="15.75" customHeight="1">
      <c r="A352" s="153"/>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ht="15.75" customHeight="1">
      <c r="A353" s="153"/>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ht="15.75" customHeight="1">
      <c r="A354" s="153"/>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ht="15.75" customHeight="1">
      <c r="A355" s="153"/>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ht="15.75" customHeight="1">
      <c r="A356" s="153"/>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ht="15.75" customHeight="1">
      <c r="A357" s="153"/>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ht="15.75" customHeight="1">
      <c r="A358" s="153"/>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ht="15.75" customHeight="1">
      <c r="A359" s="153"/>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ht="15.75" customHeight="1">
      <c r="A360" s="153"/>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ht="15.75" customHeight="1">
      <c r="A361" s="153"/>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ht="15.75" customHeight="1">
      <c r="A362" s="153"/>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ht="15.75" customHeight="1">
      <c r="A363" s="153"/>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ht="15.75" customHeight="1">
      <c r="A364" s="153"/>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ht="15.75" customHeight="1">
      <c r="A365" s="153"/>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ht="15.75" customHeight="1">
      <c r="A366" s="153"/>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ht="15.75" customHeight="1">
      <c r="A367" s="153"/>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ht="15.75" customHeight="1">
      <c r="A368" s="153"/>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ht="15.75" customHeight="1">
      <c r="A369" s="153"/>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ht="15.75" customHeight="1">
      <c r="A370" s="153"/>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ht="15.75" customHeight="1">
      <c r="A371" s="153"/>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ht="15.75" customHeight="1">
      <c r="A372" s="153"/>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ht="15.75" customHeight="1">
      <c r="A373" s="153"/>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ht="15.75" customHeight="1">
      <c r="A374" s="153"/>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ht="15.75" customHeight="1">
      <c r="A375" s="153"/>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ht="15.75" customHeight="1">
      <c r="A376" s="153"/>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ht="15.75" customHeight="1">
      <c r="A377" s="153"/>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ht="15.75" customHeight="1">
      <c r="A378" s="153"/>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ht="15.75" customHeight="1">
      <c r="A379" s="153"/>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ht="15.75" customHeight="1">
      <c r="A380" s="153"/>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ht="15.75" customHeight="1">
      <c r="A381" s="153"/>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ht="15.75" customHeight="1">
      <c r="A382" s="153"/>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ht="15.75" customHeight="1">
      <c r="A383" s="153"/>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ht="15.75" customHeight="1">
      <c r="A384" s="153"/>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ht="15.75" customHeight="1">
      <c r="A385" s="153"/>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ht="15.75" customHeight="1">
      <c r="A386" s="153"/>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ht="15.75" customHeight="1">
      <c r="A387" s="153"/>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ht="15.75" customHeight="1">
      <c r="A388" s="153"/>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ht="15.75" customHeight="1">
      <c r="A389" s="153"/>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ht="15.75" customHeight="1">
      <c r="A390" s="153"/>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ht="15.75" customHeight="1">
      <c r="A391" s="153"/>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ht="15.75" customHeight="1">
      <c r="A392" s="153"/>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ht="15.75" customHeight="1">
      <c r="A393" s="153"/>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ht="15.75" customHeight="1">
      <c r="A394" s="153"/>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ht="15.75" customHeight="1">
      <c r="A395" s="153"/>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ht="15.75" customHeight="1">
      <c r="A396" s="153"/>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ht="15.75" customHeight="1">
      <c r="A397" s="153"/>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ht="15.75" customHeight="1">
      <c r="A398" s="153"/>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ht="15.75" customHeight="1">
      <c r="A399" s="153"/>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ht="15.75" customHeight="1">
      <c r="A400" s="153"/>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ht="15.75" customHeight="1">
      <c r="A401" s="153"/>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ht="15.75" customHeight="1">
      <c r="A402" s="153"/>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ht="15.75" customHeight="1">
      <c r="A403" s="153"/>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ht="15.75" customHeight="1">
      <c r="A404" s="153"/>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ht="15.75" customHeight="1">
      <c r="A405" s="153"/>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ht="15.75" customHeight="1">
      <c r="A406" s="153"/>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ht="15.75" customHeight="1">
      <c r="A407" s="153"/>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ht="15.75" customHeight="1">
      <c r="A408" s="153"/>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ht="15.75" customHeight="1">
      <c r="A409" s="153"/>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ht="15.75" customHeight="1">
      <c r="A410" s="153"/>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ht="15.75" customHeight="1">
      <c r="A411" s="153"/>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ht="15.75" customHeight="1">
      <c r="A412" s="153"/>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ht="15.75" customHeight="1">
      <c r="A413" s="153"/>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ht="15.75" customHeight="1">
      <c r="A414" s="153"/>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ht="15.75" customHeight="1">
      <c r="A415" s="153"/>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ht="15.75" customHeight="1">
      <c r="A416" s="153"/>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ht="15.75" customHeight="1">
      <c r="A417" s="153"/>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ht="15.75" customHeight="1">
      <c r="A418" s="153"/>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ht="15.75" customHeight="1">
      <c r="A419" s="153"/>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ht="15.75" customHeight="1">
      <c r="A420" s="153"/>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ht="15.75" customHeight="1">
      <c r="A421" s="153"/>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ht="15.75" customHeight="1">
      <c r="A422" s="153"/>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ht="15.75" customHeight="1">
      <c r="A423" s="153"/>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ht="15.75" customHeight="1">
      <c r="A424" s="153"/>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ht="15.75" customHeight="1">
      <c r="A425" s="153"/>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ht="15.75" customHeight="1">
      <c r="A426" s="153"/>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ht="15.75" customHeight="1">
      <c r="A427" s="153"/>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ht="15.75" customHeight="1">
      <c r="A428" s="153"/>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ht="15.75" customHeight="1">
      <c r="A429" s="153"/>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ht="15.75" customHeight="1">
      <c r="A430" s="153"/>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ht="15.75" customHeight="1">
      <c r="A431" s="153"/>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ht="15.75" customHeight="1">
      <c r="A432" s="153"/>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ht="15.75" customHeight="1">
      <c r="A433" s="153"/>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ht="15.75" customHeight="1">
      <c r="A434" s="153"/>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ht="15.75" customHeight="1">
      <c r="A435" s="153"/>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ht="15.75" customHeight="1">
      <c r="A436" s="153"/>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ht="15.75" customHeight="1">
      <c r="A437" s="153"/>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ht="15.75" customHeight="1">
      <c r="A438" s="153"/>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ht="15.75" customHeight="1">
      <c r="A439" s="153"/>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ht="15.75" customHeight="1">
      <c r="A440" s="153"/>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ht="15.75" customHeight="1">
      <c r="A441" s="153"/>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ht="15.75" customHeight="1">
      <c r="A442" s="153"/>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ht="15.75" customHeight="1">
      <c r="A443" s="153"/>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ht="15.75" customHeight="1">
      <c r="A444" s="153"/>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ht="15.75" customHeight="1">
      <c r="A445" s="153"/>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ht="15.75" customHeight="1">
      <c r="A446" s="153"/>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ht="15.75" customHeight="1">
      <c r="A447" s="153"/>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ht="15.75" customHeight="1">
      <c r="A448" s="153"/>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ht="15.75" customHeight="1">
      <c r="A449" s="153"/>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ht="15.75" customHeight="1">
      <c r="A450" s="153"/>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ht="15.75" customHeight="1">
      <c r="A451" s="153"/>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ht="15.75" customHeight="1">
      <c r="A452" s="153"/>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ht="15.75" customHeight="1">
      <c r="A453" s="153"/>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ht="15.75" customHeight="1">
      <c r="A454" s="153"/>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ht="15.75" customHeight="1">
      <c r="A455" s="153"/>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ht="15.75" customHeight="1">
      <c r="A456" s="153"/>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ht="15.75" customHeight="1">
      <c r="A457" s="153"/>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ht="15.75" customHeight="1">
      <c r="A458" s="153"/>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ht="15.75" customHeight="1">
      <c r="A459" s="153"/>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ht="15.75" customHeight="1">
      <c r="A460" s="153"/>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ht="15.75" customHeight="1">
      <c r="A461" s="153"/>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ht="15.75" customHeight="1">
      <c r="A462" s="153"/>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ht="15.75" customHeight="1">
      <c r="A463" s="153"/>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ht="15.75" customHeight="1">
      <c r="A464" s="153"/>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ht="15.75" customHeight="1">
      <c r="A465" s="153"/>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ht="15.75" customHeight="1">
      <c r="A466" s="153"/>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ht="15.75" customHeight="1">
      <c r="A467" s="153"/>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ht="15.75" customHeight="1">
      <c r="A468" s="153"/>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ht="15.75" customHeight="1">
      <c r="A469" s="153"/>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ht="15.75" customHeight="1">
      <c r="A470" s="153"/>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ht="15.75" customHeight="1">
      <c r="A471" s="153"/>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ht="15.75" customHeight="1">
      <c r="A472" s="153"/>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ht="15.75" customHeight="1">
      <c r="A473" s="153"/>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ht="15.75" customHeight="1">
      <c r="A474" s="153"/>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ht="15.75" customHeight="1">
      <c r="A475" s="153"/>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ht="15.75" customHeight="1">
      <c r="A476" s="153"/>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ht="15.75" customHeight="1">
      <c r="A477" s="153"/>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ht="15.75" customHeight="1">
      <c r="A478" s="153"/>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ht="15.75" customHeight="1">
      <c r="A479" s="153"/>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ht="15.75" customHeight="1">
      <c r="A480" s="153"/>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ht="15.75" customHeight="1">
      <c r="A481" s="153"/>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ht="15.75" customHeight="1">
      <c r="A482" s="153"/>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ht="15.75" customHeight="1">
      <c r="A483" s="153"/>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ht="15.75" customHeight="1">
      <c r="A484" s="153"/>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ht="15.75" customHeight="1">
      <c r="A485" s="153"/>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ht="15.75" customHeight="1">
      <c r="A486" s="153"/>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ht="15.75" customHeight="1">
      <c r="A487" s="153"/>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ht="15.75" customHeight="1">
      <c r="A488" s="153"/>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ht="15.75" customHeight="1">
      <c r="A489" s="153"/>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ht="15.75" customHeight="1">
      <c r="A490" s="153"/>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ht="15.75" customHeight="1">
      <c r="A491" s="153"/>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ht="15.75" customHeight="1">
      <c r="A492" s="153"/>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ht="15.75" customHeight="1">
      <c r="A493" s="153"/>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ht="15.75" customHeight="1">
      <c r="A494" s="153"/>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ht="15.75" customHeight="1">
      <c r="A495" s="153"/>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ht="15.75" customHeight="1">
      <c r="A496" s="153"/>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ht="15.75" customHeight="1">
      <c r="A497" s="153"/>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ht="15.75" customHeight="1">
      <c r="A498" s="153"/>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ht="15.75" customHeight="1">
      <c r="A499" s="153"/>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ht="15.75" customHeight="1">
      <c r="A500" s="153"/>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ht="15.75" customHeight="1">
      <c r="A501" s="153"/>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ht="15.75" customHeight="1">
      <c r="A502" s="153"/>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ht="15.75" customHeight="1">
      <c r="A503" s="153"/>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ht="15.75" customHeight="1">
      <c r="A504" s="153"/>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ht="15.75" customHeight="1">
      <c r="A505" s="153"/>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ht="15.75" customHeight="1">
      <c r="A506" s="153"/>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ht="15.75" customHeight="1">
      <c r="A507" s="153"/>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ht="15.75" customHeight="1">
      <c r="A508" s="153"/>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ht="15.75" customHeight="1">
      <c r="A509" s="153"/>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ht="15.75" customHeight="1">
      <c r="A510" s="153"/>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ht="15.75" customHeight="1">
      <c r="A511" s="153"/>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ht="15.75" customHeight="1">
      <c r="A512" s="153"/>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ht="15.75" customHeight="1">
      <c r="A513" s="153"/>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ht="15.75" customHeight="1">
      <c r="A514" s="153"/>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ht="15.75" customHeight="1">
      <c r="A515" s="153"/>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ht="15.75" customHeight="1">
      <c r="A516" s="153"/>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ht="15.75" customHeight="1">
      <c r="A517" s="153"/>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ht="15.75" customHeight="1">
      <c r="A518" s="153"/>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ht="15.75" customHeight="1">
      <c r="A519" s="153"/>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ht="15.75" customHeight="1">
      <c r="A520" s="153"/>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ht="15.75" customHeight="1">
      <c r="A521" s="153"/>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ht="15.75" customHeight="1">
      <c r="A522" s="153"/>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ht="15.75" customHeight="1">
      <c r="A523" s="153"/>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ht="15.75" customHeight="1">
      <c r="A524" s="153"/>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ht="15.75" customHeight="1">
      <c r="A525" s="153"/>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ht="15.75" customHeight="1">
      <c r="A526" s="153"/>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ht="15.75" customHeight="1">
      <c r="A527" s="153"/>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ht="15.75" customHeight="1">
      <c r="A528" s="153"/>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ht="15.75" customHeight="1">
      <c r="A529" s="153"/>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ht="15.75" customHeight="1">
      <c r="A530" s="153"/>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ht="15.75" customHeight="1">
      <c r="A531" s="153"/>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ht="15.75" customHeight="1">
      <c r="A532" s="153"/>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ht="15.75" customHeight="1">
      <c r="A533" s="153"/>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ht="15.75" customHeight="1">
      <c r="A534" s="153"/>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ht="15.75" customHeight="1">
      <c r="A535" s="153"/>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ht="15.75" customHeight="1">
      <c r="A536" s="153"/>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ht="15.75" customHeight="1">
      <c r="A537" s="153"/>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ht="15.75" customHeight="1">
      <c r="A538" s="153"/>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ht="15.75" customHeight="1">
      <c r="A539" s="153"/>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ht="15.75" customHeight="1">
      <c r="A540" s="153"/>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ht="15.75" customHeight="1">
      <c r="A541" s="153"/>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ht="15.75" customHeight="1">
      <c r="A542" s="153"/>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ht="15.75" customHeight="1">
      <c r="A543" s="153"/>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ht="15.75" customHeight="1">
      <c r="A544" s="153"/>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ht="15.75" customHeight="1">
      <c r="A545" s="153"/>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ht="15.75" customHeight="1">
      <c r="A546" s="153"/>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ht="15.75" customHeight="1">
      <c r="A547" s="153"/>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ht="15.75" customHeight="1">
      <c r="A548" s="153"/>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ht="15.75" customHeight="1">
      <c r="A549" s="153"/>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ht="15.75" customHeight="1">
      <c r="A550" s="153"/>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ht="15.75" customHeight="1">
      <c r="A551" s="153"/>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ht="15.75" customHeight="1">
      <c r="A552" s="153"/>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ht="15.75" customHeight="1">
      <c r="A553" s="153"/>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ht="15.75" customHeight="1">
      <c r="A554" s="153"/>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ht="15.75" customHeight="1">
      <c r="A555" s="153"/>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ht="15.75" customHeight="1">
      <c r="A556" s="153"/>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ht="15.75" customHeight="1">
      <c r="A557" s="153"/>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ht="15.75" customHeight="1">
      <c r="A558" s="153"/>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ht="15.75" customHeight="1">
      <c r="A559" s="153"/>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ht="15.75" customHeight="1">
      <c r="A560" s="153"/>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ht="15.75" customHeight="1">
      <c r="A561" s="153"/>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ht="15.75" customHeight="1">
      <c r="A562" s="153"/>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ht="15.75" customHeight="1">
      <c r="A563" s="153"/>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ht="15.75" customHeight="1">
      <c r="A564" s="153"/>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ht="15.75" customHeight="1">
      <c r="A565" s="153"/>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ht="15.75" customHeight="1">
      <c r="A566" s="153"/>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ht="15.75" customHeight="1">
      <c r="A567" s="153"/>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ht="15.75" customHeight="1">
      <c r="A568" s="153"/>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ht="15.75" customHeight="1">
      <c r="A569" s="153"/>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ht="15.75" customHeight="1">
      <c r="A570" s="153"/>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ht="15.75" customHeight="1">
      <c r="A571" s="153"/>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ht="15.75" customHeight="1">
      <c r="A572" s="153"/>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ht="15.75" customHeight="1">
      <c r="A573" s="153"/>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ht="15.75" customHeight="1">
      <c r="A574" s="153"/>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ht="15.75" customHeight="1">
      <c r="A575" s="153"/>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ht="15.75" customHeight="1">
      <c r="A576" s="153"/>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ht="15.75" customHeight="1">
      <c r="A577" s="153"/>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ht="15.75" customHeight="1">
      <c r="A578" s="153"/>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ht="15.75" customHeight="1">
      <c r="A579" s="153"/>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ht="15.75" customHeight="1">
      <c r="A580" s="153"/>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ht="15.75" customHeight="1">
      <c r="A581" s="153"/>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ht="15.75" customHeight="1">
      <c r="A582" s="153"/>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ht="15.75" customHeight="1">
      <c r="A583" s="153"/>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ht="15.75" customHeight="1">
      <c r="A584" s="153"/>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ht="15.75" customHeight="1">
      <c r="A585" s="153"/>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ht="15.75" customHeight="1">
      <c r="A586" s="153"/>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ht="15.75" customHeight="1">
      <c r="A587" s="153"/>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ht="15.75" customHeight="1">
      <c r="A588" s="153"/>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ht="15.75" customHeight="1">
      <c r="A589" s="153"/>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ht="15.75" customHeight="1">
      <c r="A590" s="153"/>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ht="15.75" customHeight="1">
      <c r="A591" s="153"/>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ht="15.75" customHeight="1">
      <c r="A592" s="153"/>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ht="15.75" customHeight="1">
      <c r="A593" s="153"/>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ht="15.75" customHeight="1">
      <c r="A594" s="153"/>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ht="15.75" customHeight="1">
      <c r="A595" s="153"/>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ht="15.75" customHeight="1">
      <c r="A596" s="153"/>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ht="15.75" customHeight="1">
      <c r="A597" s="153"/>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ht="15.75" customHeight="1">
      <c r="A598" s="153"/>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ht="15.75" customHeight="1">
      <c r="A599" s="153"/>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ht="15.75" customHeight="1">
      <c r="A600" s="153"/>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ht="15.75" customHeight="1">
      <c r="A601" s="153"/>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ht="15.75" customHeight="1">
      <c r="A602" s="153"/>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ht="15.75" customHeight="1">
      <c r="A603" s="153"/>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ht="15.75" customHeight="1">
      <c r="A604" s="153"/>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ht="15.75" customHeight="1">
      <c r="A605" s="153"/>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ht="15.75" customHeight="1">
      <c r="A606" s="153"/>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ht="15.75" customHeight="1">
      <c r="A607" s="153"/>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ht="15.75" customHeight="1">
      <c r="A608" s="153"/>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ht="15.75" customHeight="1">
      <c r="A609" s="153"/>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ht="15.75" customHeight="1">
      <c r="A610" s="153"/>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ht="15.75" customHeight="1">
      <c r="A611" s="153"/>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ht="15.75" customHeight="1">
      <c r="A612" s="153"/>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ht="15.75" customHeight="1">
      <c r="A613" s="153"/>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ht="15.75" customHeight="1">
      <c r="A614" s="153"/>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ht="15.75" customHeight="1">
      <c r="A615" s="153"/>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ht="15.75" customHeight="1">
      <c r="A616" s="153"/>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ht="15.75" customHeight="1">
      <c r="A617" s="153"/>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ht="15.75" customHeight="1">
      <c r="A618" s="153"/>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ht="15.75" customHeight="1">
      <c r="A619" s="153"/>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ht="15.75" customHeight="1">
      <c r="A620" s="153"/>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ht="15.75" customHeight="1">
      <c r="A621" s="153"/>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ht="15.75" customHeight="1">
      <c r="A622" s="153"/>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ht="15.75" customHeight="1">
      <c r="A623" s="153"/>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ht="15.75" customHeight="1">
      <c r="A624" s="153"/>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ht="15.75" customHeight="1">
      <c r="A625" s="153"/>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ht="15.75" customHeight="1">
      <c r="A626" s="153"/>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ht="15.75" customHeight="1">
      <c r="A627" s="153"/>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ht="15.75" customHeight="1">
      <c r="A628" s="153"/>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ht="15.75" customHeight="1">
      <c r="A629" s="153"/>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ht="15.75" customHeight="1">
      <c r="A630" s="153"/>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ht="15.75" customHeight="1">
      <c r="A631" s="153"/>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ht="15.75" customHeight="1">
      <c r="A632" s="153"/>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ht="15.75" customHeight="1">
      <c r="A633" s="153"/>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ht="15.75" customHeight="1">
      <c r="A634" s="153"/>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ht="15.75" customHeight="1">
      <c r="A635" s="153"/>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ht="15.75" customHeight="1">
      <c r="A636" s="153"/>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ht="15.75" customHeight="1">
      <c r="A637" s="153"/>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ht="15.75" customHeight="1">
      <c r="A638" s="153"/>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ht="15.75" customHeight="1">
      <c r="A639" s="153"/>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ht="15.75" customHeight="1">
      <c r="A640" s="153"/>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ht="15.75" customHeight="1">
      <c r="A641" s="153"/>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ht="15.75" customHeight="1">
      <c r="A642" s="153"/>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ht="15.75" customHeight="1">
      <c r="A643" s="153"/>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ht="15.75" customHeight="1">
      <c r="A644" s="153"/>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ht="15.75" customHeight="1">
      <c r="A645" s="153"/>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ht="15.75" customHeight="1">
      <c r="A646" s="153"/>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ht="15.75" customHeight="1">
      <c r="A647" s="153"/>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ht="15.75" customHeight="1">
      <c r="A648" s="153"/>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ht="15.75" customHeight="1">
      <c r="A649" s="153"/>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ht="15.75" customHeight="1">
      <c r="A650" s="153"/>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ht="15.75" customHeight="1">
      <c r="A651" s="153"/>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ht="15.75" customHeight="1">
      <c r="A652" s="153"/>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ht="15.75" customHeight="1">
      <c r="A653" s="153"/>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ht="15.75" customHeight="1">
      <c r="A654" s="153"/>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ht="15.75" customHeight="1">
      <c r="A655" s="153"/>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ht="15.75" customHeight="1">
      <c r="A656" s="153"/>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ht="15.75" customHeight="1">
      <c r="A657" s="153"/>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ht="15.75" customHeight="1">
      <c r="A658" s="153"/>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ht="15.75" customHeight="1">
      <c r="A659" s="153"/>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ht="15.75" customHeight="1">
      <c r="A660" s="153"/>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ht="15.75" customHeight="1">
      <c r="A661" s="153"/>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ht="15.75" customHeight="1">
      <c r="A662" s="153"/>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ht="15.75" customHeight="1">
      <c r="A663" s="153"/>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ht="15.75" customHeight="1">
      <c r="A664" s="153"/>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ht="15.75" customHeight="1">
      <c r="A665" s="153"/>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ht="15.75" customHeight="1">
      <c r="A666" s="153"/>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ht="15.75" customHeight="1">
      <c r="A667" s="153"/>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ht="15.75" customHeight="1">
      <c r="A668" s="153"/>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ht="15.75" customHeight="1">
      <c r="A669" s="153"/>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ht="15.75" customHeight="1">
      <c r="A670" s="153"/>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ht="15.75" customHeight="1">
      <c r="A671" s="153"/>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ht="15.75" customHeight="1">
      <c r="A672" s="153"/>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ht="15.75" customHeight="1">
      <c r="A673" s="153"/>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ht="15.75" customHeight="1">
      <c r="A674" s="153"/>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ht="15.75" customHeight="1">
      <c r="A675" s="153"/>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ht="15.75" customHeight="1">
      <c r="A676" s="153"/>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ht="15.75" customHeight="1">
      <c r="A677" s="153"/>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ht="15.75" customHeight="1">
      <c r="A678" s="153"/>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ht="15.75" customHeight="1">
      <c r="A679" s="153"/>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ht="15.75" customHeight="1">
      <c r="A680" s="153"/>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ht="15.75" customHeight="1">
      <c r="A681" s="153"/>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ht="15.75" customHeight="1">
      <c r="A682" s="153"/>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ht="15.75" customHeight="1">
      <c r="A683" s="153"/>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ht="15.75" customHeight="1">
      <c r="A684" s="153"/>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ht="15.75" customHeight="1">
      <c r="A685" s="153"/>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ht="15.75" customHeight="1">
      <c r="A686" s="153"/>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ht="15.75" customHeight="1">
      <c r="A687" s="153"/>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ht="15.75" customHeight="1">
      <c r="A688" s="153"/>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ht="15.75" customHeight="1">
      <c r="A689" s="153"/>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ht="15.75" customHeight="1">
      <c r="A690" s="153"/>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ht="15.75" customHeight="1">
      <c r="A691" s="153"/>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ht="15.75" customHeight="1">
      <c r="A692" s="153"/>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ht="15.75" customHeight="1">
      <c r="A693" s="153"/>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ht="15.75" customHeight="1">
      <c r="A694" s="153"/>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ht="15.75" customHeight="1">
      <c r="A695" s="153"/>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ht="15.75" customHeight="1">
      <c r="A696" s="153"/>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ht="15.75" customHeight="1">
      <c r="A697" s="153"/>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ht="15.75" customHeight="1">
      <c r="A698" s="153"/>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ht="15.75" customHeight="1">
      <c r="A699" s="153"/>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ht="15.75" customHeight="1">
      <c r="A700" s="153"/>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ht="15.75" customHeight="1">
      <c r="A701" s="153"/>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ht="15.75" customHeight="1">
      <c r="A702" s="153"/>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ht="15.75" customHeight="1">
      <c r="A703" s="153"/>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ht="15.75" customHeight="1">
      <c r="A704" s="153"/>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ht="15.75" customHeight="1">
      <c r="A705" s="153"/>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ht="15.75" customHeight="1">
      <c r="A706" s="153"/>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ht="15.75" customHeight="1">
      <c r="A707" s="153"/>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ht="15.75" customHeight="1">
      <c r="A708" s="153"/>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ht="15.75" customHeight="1">
      <c r="A709" s="153"/>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ht="15.75" customHeight="1">
      <c r="A710" s="153"/>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ht="15.75" customHeight="1">
      <c r="A711" s="153"/>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ht="15.75" customHeight="1">
      <c r="A712" s="153"/>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ht="15.75" customHeight="1">
      <c r="A713" s="153"/>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ht="15.75" customHeight="1">
      <c r="A714" s="153"/>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ht="15.75" customHeight="1">
      <c r="A715" s="153"/>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ht="15.75" customHeight="1">
      <c r="A716" s="153"/>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ht="15.75" customHeight="1">
      <c r="A717" s="153"/>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ht="15.75" customHeight="1">
      <c r="A718" s="153"/>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ht="15.75" customHeight="1">
      <c r="A719" s="153"/>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ht="15.75" customHeight="1">
      <c r="A720" s="153"/>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ht="15.75" customHeight="1">
      <c r="A721" s="153"/>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ht="15.75" customHeight="1">
      <c r="A722" s="153"/>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ht="15.75" customHeight="1">
      <c r="A723" s="153"/>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ht="15.75" customHeight="1">
      <c r="A724" s="153"/>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ht="15.75" customHeight="1">
      <c r="A725" s="153"/>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ht="15.75" customHeight="1">
      <c r="A726" s="153"/>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ht="15.75" customHeight="1">
      <c r="A727" s="153"/>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ht="15.75" customHeight="1">
      <c r="A728" s="153"/>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ht="15.75" customHeight="1">
      <c r="A729" s="153"/>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ht="15.75" customHeight="1">
      <c r="A730" s="153"/>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ht="15.75" customHeight="1">
      <c r="A731" s="153"/>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ht="15.75" customHeight="1">
      <c r="A732" s="153"/>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ht="15.75" customHeight="1">
      <c r="A733" s="153"/>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ht="15.75" customHeight="1">
      <c r="A734" s="153"/>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ht="15.75" customHeight="1">
      <c r="A735" s="153"/>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ht="15.75" customHeight="1">
      <c r="A736" s="153"/>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ht="15.75" customHeight="1">
      <c r="A737" s="153"/>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ht="15.75" customHeight="1">
      <c r="A738" s="153"/>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ht="15.75" customHeight="1">
      <c r="A739" s="153"/>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ht="15.75" customHeight="1">
      <c r="A740" s="153"/>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ht="15.75" customHeight="1">
      <c r="A741" s="153"/>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ht="15.75" customHeight="1">
      <c r="A742" s="153"/>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ht="15.75" customHeight="1">
      <c r="A743" s="153"/>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ht="15.75" customHeight="1">
      <c r="A744" s="153"/>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ht="15.75" customHeight="1">
      <c r="A745" s="153"/>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ht="15.75" customHeight="1">
      <c r="A746" s="153"/>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ht="15.75" customHeight="1">
      <c r="A747" s="153"/>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ht="15.75" customHeight="1">
      <c r="A748" s="153"/>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ht="15.75" customHeight="1">
      <c r="A749" s="153"/>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ht="15.75" customHeight="1">
      <c r="A750" s="153"/>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ht="15.75" customHeight="1">
      <c r="A751" s="153"/>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ht="15.75" customHeight="1">
      <c r="A752" s="153"/>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ht="15.75" customHeight="1">
      <c r="A753" s="153"/>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ht="15.75" customHeight="1">
      <c r="A754" s="153"/>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ht="15.75" customHeight="1">
      <c r="A755" s="153"/>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ht="15.75" customHeight="1">
      <c r="A756" s="153"/>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ht="15.75" customHeight="1">
      <c r="A757" s="153"/>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ht="15.75" customHeight="1">
      <c r="A758" s="153"/>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ht="15.75" customHeight="1">
      <c r="A759" s="153"/>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ht="15.75" customHeight="1">
      <c r="A760" s="153"/>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ht="15.75" customHeight="1">
      <c r="A761" s="153"/>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ht="15.75" customHeight="1">
      <c r="A762" s="153"/>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ht="15.75" customHeight="1">
      <c r="A763" s="153"/>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ht="15.75" customHeight="1">
      <c r="A764" s="153"/>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ht="15.75" customHeight="1">
      <c r="A765" s="153"/>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ht="15.75" customHeight="1">
      <c r="A766" s="153"/>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ht="15.75" customHeight="1">
      <c r="A767" s="153"/>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ht="15.75" customHeight="1">
      <c r="A768" s="153"/>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ht="15.75" customHeight="1">
      <c r="A769" s="153"/>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ht="15.75" customHeight="1">
      <c r="A770" s="153"/>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ht="15.75" customHeight="1">
      <c r="A771" s="153"/>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ht="15.75" customHeight="1">
      <c r="A772" s="153"/>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ht="15.75" customHeight="1">
      <c r="A773" s="153"/>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ht="15.75" customHeight="1">
      <c r="A774" s="153"/>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ht="15.75" customHeight="1">
      <c r="A775" s="153"/>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ht="15.75" customHeight="1">
      <c r="A776" s="153"/>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ht="15.75" customHeight="1">
      <c r="A777" s="153"/>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ht="15.75" customHeight="1">
      <c r="A778" s="153"/>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ht="15.75" customHeight="1">
      <c r="A779" s="153"/>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ht="15.75" customHeight="1">
      <c r="A780" s="153"/>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ht="15.75" customHeight="1">
      <c r="A781" s="153"/>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ht="15.75" customHeight="1">
      <c r="A782" s="153"/>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ht="15.75" customHeight="1">
      <c r="A783" s="153"/>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ht="15.75" customHeight="1">
      <c r="A784" s="153"/>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ht="15.75" customHeight="1">
      <c r="A785" s="153"/>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ht="15.75" customHeight="1">
      <c r="A786" s="153"/>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ht="15.75" customHeight="1">
      <c r="A787" s="153"/>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ht="15.75" customHeight="1">
      <c r="A788" s="153"/>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ht="15.75" customHeight="1">
      <c r="A789" s="153"/>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ht="15.75" customHeight="1">
      <c r="A790" s="153"/>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ht="15.75" customHeight="1">
      <c r="A791" s="153"/>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ht="15.75" customHeight="1">
      <c r="A792" s="153"/>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ht="15.75" customHeight="1">
      <c r="A793" s="153"/>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ht="15.75" customHeight="1">
      <c r="A794" s="153"/>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ht="15.75" customHeight="1">
      <c r="A795" s="153"/>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ht="15.75" customHeight="1">
      <c r="A796" s="153"/>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ht="15.75" customHeight="1">
      <c r="A797" s="153"/>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ht="15.75" customHeight="1">
      <c r="A798" s="153"/>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ht="15.75" customHeight="1">
      <c r="A799" s="153"/>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ht="15.75" customHeight="1">
      <c r="A800" s="153"/>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ht="15.75" customHeight="1">
      <c r="A801" s="153"/>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ht="15.75" customHeight="1">
      <c r="A802" s="153"/>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ht="15.75" customHeight="1">
      <c r="A803" s="153"/>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ht="15.75" customHeight="1">
      <c r="A804" s="153"/>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ht="15.75" customHeight="1">
      <c r="A805" s="153"/>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ht="15.75" customHeight="1">
      <c r="A806" s="153"/>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ht="15.75" customHeight="1">
      <c r="A807" s="153"/>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ht="15.75" customHeight="1">
      <c r="A808" s="153"/>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ht="15.75" customHeight="1">
      <c r="A809" s="153"/>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ht="15.75" customHeight="1">
      <c r="A810" s="153"/>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ht="15.75" customHeight="1">
      <c r="A811" s="153"/>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ht="15.75" customHeight="1">
      <c r="A812" s="153"/>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ht="15.75" customHeight="1">
      <c r="A813" s="153"/>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ht="15.75" customHeight="1">
      <c r="A814" s="153"/>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ht="15.75" customHeight="1">
      <c r="A815" s="153"/>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ht="15.75" customHeight="1">
      <c r="A816" s="153"/>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ht="15.75" customHeight="1">
      <c r="A817" s="153"/>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ht="15.75" customHeight="1">
      <c r="A818" s="153"/>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ht="15.75" customHeight="1">
      <c r="A819" s="153"/>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ht="15.75" customHeight="1">
      <c r="A820" s="153"/>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ht="15.75" customHeight="1">
      <c r="A821" s="153"/>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ht="15.75" customHeight="1">
      <c r="A822" s="153"/>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ht="15.75" customHeight="1">
      <c r="A823" s="153"/>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ht="15.75" customHeight="1">
      <c r="A824" s="153"/>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ht="15.75" customHeight="1">
      <c r="A825" s="153"/>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ht="15.75" customHeight="1">
      <c r="A826" s="153"/>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ht="15.75" customHeight="1">
      <c r="A827" s="153"/>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ht="15.75" customHeight="1">
      <c r="A828" s="153"/>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ht="15.75" customHeight="1">
      <c r="A829" s="153"/>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ht="15.75" customHeight="1">
      <c r="A830" s="153"/>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ht="15.75" customHeight="1">
      <c r="A831" s="153"/>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ht="15.75" customHeight="1">
      <c r="A832" s="153"/>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ht="15.75" customHeight="1">
      <c r="A833" s="153"/>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ht="15.75" customHeight="1">
      <c r="A834" s="153"/>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ht="15.75" customHeight="1">
      <c r="A835" s="153"/>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ht="15.75" customHeight="1">
      <c r="A836" s="153"/>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ht="15.75" customHeight="1">
      <c r="A837" s="153"/>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ht="15.75" customHeight="1">
      <c r="A838" s="153"/>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ht="15.75" customHeight="1">
      <c r="A839" s="153"/>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ht="15.75" customHeight="1">
      <c r="A840" s="153"/>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ht="15.75" customHeight="1">
      <c r="A841" s="153"/>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ht="15.75" customHeight="1">
      <c r="A842" s="153"/>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ht="15.75" customHeight="1">
      <c r="A843" s="153"/>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ht="15.75" customHeight="1">
      <c r="A844" s="153"/>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ht="15.75" customHeight="1">
      <c r="A845" s="153"/>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ht="15.75" customHeight="1">
      <c r="A846" s="153"/>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ht="15.75" customHeight="1">
      <c r="A847" s="153"/>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ht="15.75" customHeight="1">
      <c r="A848" s="153"/>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ht="15.75" customHeight="1">
      <c r="A849" s="153"/>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ht="15.75" customHeight="1">
      <c r="A850" s="153"/>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ht="15.75" customHeight="1">
      <c r="A851" s="153"/>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ht="15.75" customHeight="1">
      <c r="A852" s="153"/>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ht="15.75" customHeight="1">
      <c r="A853" s="153"/>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ht="15.75" customHeight="1">
      <c r="A854" s="153"/>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ht="15.75" customHeight="1">
      <c r="A855" s="153"/>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ht="15.75" customHeight="1">
      <c r="A856" s="153"/>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ht="15.75" customHeight="1">
      <c r="A857" s="153"/>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ht="15.75" customHeight="1">
      <c r="A858" s="153"/>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ht="15.75" customHeight="1">
      <c r="A859" s="153"/>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ht="15.75" customHeight="1">
      <c r="A860" s="153"/>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ht="15.75" customHeight="1">
      <c r="A861" s="153"/>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ht="15.75" customHeight="1">
      <c r="A862" s="153"/>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ht="15.75" customHeight="1">
      <c r="A863" s="153"/>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ht="15.75" customHeight="1">
      <c r="A864" s="153"/>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ht="15.75" customHeight="1">
      <c r="A865" s="153"/>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ht="15.75" customHeight="1">
      <c r="A866" s="153"/>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ht="15.75" customHeight="1">
      <c r="A867" s="153"/>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ht="15.75" customHeight="1">
      <c r="A868" s="153"/>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ht="15.75" customHeight="1">
      <c r="A869" s="153"/>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ht="15.75" customHeight="1">
      <c r="A870" s="153"/>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ht="15.75" customHeight="1">
      <c r="A871" s="153"/>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ht="15.75" customHeight="1">
      <c r="A872" s="153"/>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ht="15.75" customHeight="1">
      <c r="A873" s="153"/>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ht="15.75" customHeight="1">
      <c r="A874" s="153"/>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ht="15.75" customHeight="1">
      <c r="A875" s="153"/>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ht="15.75" customHeight="1">
      <c r="A876" s="153"/>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ht="15.75" customHeight="1">
      <c r="A877" s="153"/>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ht="15.75" customHeight="1">
      <c r="A878" s="153"/>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ht="15.75" customHeight="1">
      <c r="A879" s="153"/>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ht="15.75" customHeight="1">
      <c r="A880" s="153"/>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ht="15.75" customHeight="1">
      <c r="A881" s="153"/>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ht="15.75" customHeight="1">
      <c r="A882" s="153"/>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ht="15.75" customHeight="1">
      <c r="A883" s="153"/>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ht="15.75" customHeight="1">
      <c r="A884" s="153"/>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ht="15.75" customHeight="1">
      <c r="A885" s="153"/>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ht="15.75" customHeight="1">
      <c r="A886" s="153"/>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ht="15.75" customHeight="1">
      <c r="A887" s="153"/>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ht="15.75" customHeight="1">
      <c r="A888" s="153"/>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ht="15.75" customHeight="1">
      <c r="A889" s="153"/>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ht="15.75" customHeight="1">
      <c r="A890" s="153"/>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ht="15.75" customHeight="1">
      <c r="A891" s="153"/>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ht="15.75" customHeight="1">
      <c r="A892" s="153"/>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ht="15.75" customHeight="1">
      <c r="A893" s="153"/>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ht="15.75" customHeight="1">
      <c r="A894" s="153"/>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ht="15.75" customHeight="1">
      <c r="A895" s="153"/>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ht="15.75" customHeight="1">
      <c r="A896" s="153"/>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ht="15.75" customHeight="1">
      <c r="A897" s="153"/>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ht="15.75" customHeight="1">
      <c r="A898" s="153"/>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ht="15.75" customHeight="1">
      <c r="A899" s="153"/>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ht="15.75" customHeight="1">
      <c r="A900" s="153"/>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ht="15.75" customHeight="1">
      <c r="A901" s="153"/>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ht="15.75" customHeight="1">
      <c r="A902" s="153"/>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ht="15.75" customHeight="1">
      <c r="A903" s="153"/>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ht="15.75" customHeight="1">
      <c r="A904" s="153"/>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ht="15.75" customHeight="1">
      <c r="A905" s="153"/>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ht="15.75" customHeight="1">
      <c r="A906" s="153"/>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ht="15.75" customHeight="1">
      <c r="A907" s="153"/>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ht="15.75" customHeight="1">
      <c r="A908" s="153"/>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ht="15.75" customHeight="1">
      <c r="A909" s="153"/>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ht="15.75" customHeight="1">
      <c r="A910" s="153"/>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ht="15.75" customHeight="1">
      <c r="A911" s="153"/>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ht="15.75" customHeight="1">
      <c r="A912" s="153"/>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ht="15.75" customHeight="1">
      <c r="A913" s="153"/>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ht="15.75" customHeight="1">
      <c r="A914" s="153"/>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ht="15.75" customHeight="1">
      <c r="A915" s="153"/>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ht="15.75" customHeight="1">
      <c r="A916" s="153"/>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ht="15.75" customHeight="1">
      <c r="A917" s="153"/>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ht="15.75" customHeight="1">
      <c r="A918" s="153"/>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ht="15.75" customHeight="1">
      <c r="A919" s="153"/>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ht="15.75" customHeight="1">
      <c r="A920" s="153"/>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ht="15.75" customHeight="1">
      <c r="A921" s="153"/>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ht="15.75" customHeight="1">
      <c r="A922" s="153"/>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ht="15.75" customHeight="1">
      <c r="A923" s="153"/>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ht="15.75" customHeight="1">
      <c r="A924" s="153"/>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ht="15.75" customHeight="1">
      <c r="A925" s="153"/>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ht="15.75" customHeight="1">
      <c r="A926" s="153"/>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ht="15.75" customHeight="1">
      <c r="A927" s="153"/>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ht="15.75" customHeight="1">
      <c r="A928" s="153"/>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ht="15.75" customHeight="1">
      <c r="A929" s="153"/>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ht="15.75" customHeight="1">
      <c r="A930" s="153"/>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ht="15.75" customHeight="1">
      <c r="A931" s="153"/>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ht="15.75" customHeight="1">
      <c r="A932" s="153"/>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ht="15.75" customHeight="1">
      <c r="A933" s="153"/>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ht="15.75" customHeight="1">
      <c r="A934" s="153"/>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ht="15.75" customHeight="1">
      <c r="A935" s="153"/>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ht="15.75" customHeight="1">
      <c r="A936" s="153"/>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ht="15.75" customHeight="1">
      <c r="A937" s="153"/>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ht="15.75" customHeight="1">
      <c r="A938" s="153"/>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ht="15.75" customHeight="1">
      <c r="A939" s="153"/>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ht="15.75" customHeight="1">
      <c r="A940" s="153"/>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ht="15.75" customHeight="1">
      <c r="A941" s="153"/>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ht="15.75" customHeight="1">
      <c r="A942" s="153"/>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ht="15.75" customHeight="1">
      <c r="A943" s="153"/>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ht="15.75" customHeight="1">
      <c r="A944" s="153"/>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ht="15.75" customHeight="1">
      <c r="A945" s="153"/>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ht="15.75" customHeight="1">
      <c r="A946" s="153"/>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ht="15.75" customHeight="1">
      <c r="A947" s="153"/>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ht="15.75" customHeight="1">
      <c r="A948" s="153"/>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ht="15.75" customHeight="1">
      <c r="A949" s="153"/>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ht="15.75" customHeight="1">
      <c r="A950" s="153"/>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ht="15.75" customHeight="1">
      <c r="A951" s="153"/>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ht="15.75" customHeight="1">
      <c r="A952" s="153"/>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ht="15.75" customHeight="1">
      <c r="A953" s="153"/>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ht="15.75" customHeight="1">
      <c r="A954" s="153"/>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ht="15.75" customHeight="1">
      <c r="A955" s="153"/>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ht="15.75" customHeight="1">
      <c r="A956" s="153"/>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ht="15.75" customHeight="1">
      <c r="A957" s="153"/>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ht="15.75" customHeight="1">
      <c r="A958" s="153"/>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ht="15.75" customHeight="1">
      <c r="A959" s="153"/>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ht="15.75" customHeight="1">
      <c r="A960" s="153"/>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ht="15.75" customHeight="1">
      <c r="A961" s="153"/>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ht="15.75" customHeight="1">
      <c r="A962" s="153"/>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ht="15.75" customHeight="1">
      <c r="A963" s="153"/>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ht="15.75" customHeight="1">
      <c r="A964" s="153"/>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ht="15.75" customHeight="1">
      <c r="A965" s="153"/>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ht="15.75" customHeight="1">
      <c r="A966" s="153"/>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ht="15.75" customHeight="1">
      <c r="A967" s="153"/>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ht="15.75" customHeight="1">
      <c r="A968" s="153"/>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ht="15.75" customHeight="1">
      <c r="A969" s="153"/>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ht="15.75" customHeight="1">
      <c r="A970" s="153"/>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ht="15.75" customHeight="1">
      <c r="A971" s="153"/>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ht="15.75" customHeight="1">
      <c r="A972" s="153"/>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ht="15.75" customHeight="1">
      <c r="A973" s="153"/>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ht="15.75" customHeight="1">
      <c r="A974" s="153"/>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ht="15.75" customHeight="1">
      <c r="A975" s="153"/>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ht="15.75" customHeight="1">
      <c r="A976" s="153"/>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ht="15.75" customHeight="1">
      <c r="A977" s="153"/>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ht="15.75" customHeight="1">
      <c r="A978" s="153"/>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ht="15.75" customHeight="1">
      <c r="A979" s="153"/>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ht="15.75" customHeight="1">
      <c r="A980" s="153"/>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ht="15.75" customHeight="1">
      <c r="A981" s="153"/>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ht="15.75" customHeight="1">
      <c r="A982" s="153"/>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ht="15.75" customHeight="1">
      <c r="A983" s="153"/>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ht="15.75" customHeight="1">
      <c r="A984" s="153"/>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ht="15.75" customHeight="1">
      <c r="A985" s="153"/>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ht="15.75" customHeight="1">
      <c r="A986" s="153"/>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ht="15.75" customHeight="1">
      <c r="A987" s="153"/>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ht="15.75" customHeight="1">
      <c r="A988" s="153"/>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ht="15.75" customHeight="1">
      <c r="A989" s="153"/>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ht="15.75" customHeight="1">
      <c r="A990" s="153"/>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ht="15.75" customHeight="1">
      <c r="A991" s="153"/>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ht="15.75" customHeight="1">
      <c r="A992" s="153"/>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ht="15.75" customHeight="1">
      <c r="A993" s="153"/>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ht="15.75" customHeight="1">
      <c r="A994" s="153"/>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ht="15.75" customHeight="1">
      <c r="A995" s="153"/>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ht="15.75" customHeight="1">
      <c r="A996" s="153"/>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ht="15.75" customHeight="1">
      <c r="A997" s="153"/>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ht="15.75" customHeight="1">
      <c r="A998" s="153"/>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ht="15.75" customHeight="1">
      <c r="A999" s="153"/>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row r="1000" ht="15.75" customHeight="1">
      <c r="A1000" s="153"/>
      <c r="B1000" s="153"/>
      <c r="C1000" s="153"/>
      <c r="D1000" s="153"/>
      <c r="E1000" s="153"/>
      <c r="F1000" s="153"/>
      <c r="G1000" s="153"/>
      <c r="H1000" s="153"/>
      <c r="I1000" s="153"/>
      <c r="J1000" s="153"/>
      <c r="K1000" s="153"/>
      <c r="L1000" s="153"/>
      <c r="M1000" s="153"/>
      <c r="N1000" s="153"/>
      <c r="O1000" s="153"/>
      <c r="P1000" s="153"/>
      <c r="Q1000" s="153"/>
      <c r="R1000" s="153"/>
      <c r="S1000" s="153"/>
      <c r="T1000" s="153"/>
      <c r="U1000" s="153"/>
      <c r="V1000" s="153"/>
      <c r="W1000" s="153"/>
      <c r="X1000" s="153"/>
      <c r="Y1000" s="153"/>
      <c r="Z1000" s="153"/>
    </row>
  </sheetData>
  <hyperlinks>
    <hyperlink r:id="rId1" ref="E30"/>
  </hyperlinks>
  <printOptions/>
  <pageMargins bottom="0.75" footer="0.0" header="0.0" left="0.7" right="0.7" top="0.75"/>
  <pageSetup fitToHeight="0" orientation="landscape"/>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FF"/>
    <pageSetUpPr/>
  </sheetPr>
  <sheetViews>
    <sheetView showGridLines="0" workbookViewId="0"/>
  </sheetViews>
  <sheetFormatPr customHeight="1" defaultColWidth="14.43" defaultRowHeight="15.0"/>
  <cols>
    <col customWidth="1" min="1" max="2" width="8.71"/>
    <col customWidth="1" min="3" max="3" width="29.14"/>
    <col customWidth="1" min="4" max="4" width="9.29"/>
    <col customWidth="1" min="5" max="5" width="11.43"/>
    <col customWidth="1" min="6" max="6" width="11.57"/>
    <col customWidth="1" min="7" max="7" width="11.86"/>
    <col customWidth="1" min="8" max="8" width="10.86"/>
    <col customWidth="1" min="9" max="9" width="10.29"/>
    <col customWidth="1" min="10" max="10" width="13.43"/>
    <col customWidth="1" min="11" max="11" width="9.29"/>
    <col customWidth="1" min="12" max="27" width="8.71"/>
  </cols>
  <sheetData>
    <row r="7">
      <c r="A7" s="175"/>
      <c r="B7" s="175" t="s">
        <v>373</v>
      </c>
      <c r="C7" s="216"/>
      <c r="D7" s="216"/>
      <c r="E7" s="216"/>
      <c r="F7" s="216"/>
      <c r="G7" s="216"/>
      <c r="H7" s="216"/>
      <c r="I7" s="216"/>
      <c r="J7" s="216"/>
      <c r="K7" s="216"/>
      <c r="L7" s="216"/>
      <c r="M7" s="154"/>
      <c r="N7" s="154"/>
      <c r="O7" s="154"/>
      <c r="P7" s="154"/>
      <c r="Q7" s="154"/>
      <c r="R7" s="154"/>
      <c r="S7" s="154"/>
      <c r="T7" s="154"/>
      <c r="U7" s="154"/>
      <c r="V7" s="154"/>
      <c r="W7" s="154"/>
      <c r="X7" s="154"/>
      <c r="Y7" s="154"/>
      <c r="Z7" s="154"/>
      <c r="AA7" s="154"/>
    </row>
    <row r="8">
      <c r="A8" s="254"/>
      <c r="B8" s="181"/>
      <c r="C8" s="217" t="s">
        <v>443</v>
      </c>
      <c r="D8" s="218"/>
      <c r="E8" s="218"/>
      <c r="F8" s="218"/>
      <c r="G8" s="218"/>
      <c r="H8" s="218"/>
      <c r="I8" s="218"/>
      <c r="J8" s="218"/>
      <c r="K8" s="218"/>
      <c r="L8" s="180"/>
      <c r="M8" s="154"/>
      <c r="N8" s="154"/>
      <c r="O8" s="154"/>
      <c r="P8" s="154"/>
      <c r="Q8" s="154"/>
      <c r="R8" s="154"/>
      <c r="S8" s="154"/>
      <c r="T8" s="154"/>
      <c r="U8" s="154"/>
      <c r="V8" s="154"/>
      <c r="W8" s="154"/>
      <c r="X8" s="154"/>
      <c r="Y8" s="154"/>
      <c r="Z8" s="154"/>
      <c r="AA8" s="154"/>
    </row>
    <row r="9">
      <c r="A9" s="254"/>
      <c r="B9" s="181"/>
      <c r="C9" s="217" t="s">
        <v>444</v>
      </c>
      <c r="D9" s="218"/>
      <c r="E9" s="218"/>
      <c r="F9" s="218"/>
      <c r="G9" s="218"/>
      <c r="H9" s="218"/>
      <c r="I9" s="218"/>
      <c r="J9" s="218"/>
      <c r="K9" s="218"/>
      <c r="L9" s="180"/>
      <c r="M9" s="154"/>
      <c r="N9" s="154"/>
      <c r="O9" s="154"/>
      <c r="P9" s="154"/>
      <c r="Q9" s="154"/>
      <c r="R9" s="154"/>
      <c r="S9" s="154"/>
      <c r="T9" s="154"/>
      <c r="U9" s="154"/>
      <c r="V9" s="154"/>
      <c r="W9" s="154"/>
      <c r="X9" s="154"/>
      <c r="Y9" s="154"/>
      <c r="Z9" s="154"/>
      <c r="AA9" s="154"/>
    </row>
    <row r="10">
      <c r="A10" s="254"/>
      <c r="B10" s="181"/>
      <c r="C10" s="217" t="s">
        <v>445</v>
      </c>
      <c r="D10" s="218"/>
      <c r="E10" s="218"/>
      <c r="F10" s="218"/>
      <c r="G10" s="218"/>
      <c r="H10" s="218"/>
      <c r="I10" s="218"/>
      <c r="J10" s="218"/>
      <c r="K10" s="218"/>
      <c r="L10" s="180"/>
      <c r="M10" s="154"/>
      <c r="N10" s="154"/>
      <c r="O10" s="154"/>
      <c r="P10" s="154"/>
      <c r="Q10" s="154"/>
      <c r="R10" s="154"/>
      <c r="S10" s="154"/>
      <c r="T10" s="154"/>
      <c r="U10" s="154"/>
      <c r="V10" s="154"/>
      <c r="W10" s="154"/>
      <c r="X10" s="154"/>
      <c r="Y10" s="154"/>
      <c r="Z10" s="154"/>
      <c r="AA10" s="154"/>
    </row>
    <row r="11">
      <c r="A11" s="154"/>
      <c r="B11" s="154"/>
      <c r="C11" s="255"/>
      <c r="D11" s="180"/>
      <c r="E11" s="180"/>
      <c r="F11" s="180"/>
      <c r="G11" s="180"/>
      <c r="H11" s="180"/>
      <c r="I11" s="180"/>
      <c r="J11" s="180"/>
      <c r="K11" s="180"/>
      <c r="L11" s="180"/>
      <c r="M11" s="154"/>
      <c r="N11" s="154"/>
      <c r="O11" s="154"/>
      <c r="P11" s="154"/>
      <c r="Q11" s="154"/>
      <c r="R11" s="154"/>
      <c r="S11" s="154"/>
      <c r="T11" s="154"/>
      <c r="U11" s="154"/>
      <c r="V11" s="154"/>
      <c r="W11" s="154"/>
      <c r="X11" s="154"/>
      <c r="Y11" s="154"/>
      <c r="Z11" s="154"/>
      <c r="AA11" s="154"/>
    </row>
    <row r="12">
      <c r="A12" s="256"/>
      <c r="B12" s="182" t="s">
        <v>446</v>
      </c>
      <c r="C12" s="257"/>
      <c r="D12" s="258"/>
      <c r="E12" s="258"/>
      <c r="F12" s="258"/>
      <c r="G12" s="258"/>
      <c r="H12" s="258"/>
      <c r="I12" s="258"/>
      <c r="J12" s="258"/>
      <c r="K12" s="258"/>
      <c r="L12" s="180"/>
      <c r="M12" s="154"/>
      <c r="N12" s="154"/>
      <c r="O12" s="154"/>
      <c r="P12" s="154"/>
      <c r="Q12" s="154"/>
      <c r="R12" s="154"/>
      <c r="S12" s="154"/>
      <c r="T12" s="154"/>
      <c r="U12" s="154"/>
      <c r="V12" s="154"/>
      <c r="W12" s="154"/>
      <c r="X12" s="154"/>
      <c r="Y12" s="154"/>
      <c r="Z12" s="154"/>
      <c r="AA12" s="154"/>
    </row>
    <row r="13">
      <c r="A13" s="152"/>
      <c r="B13" s="152"/>
      <c r="C13" s="175" t="s">
        <v>447</v>
      </c>
      <c r="D13" s="223">
        <v>21.0</v>
      </c>
      <c r="E13" s="175" t="s">
        <v>312</v>
      </c>
      <c r="F13" s="180"/>
      <c r="G13" s="180"/>
      <c r="H13" s="180"/>
      <c r="I13" s="180"/>
      <c r="J13" s="180"/>
      <c r="K13" s="180"/>
      <c r="L13" s="180"/>
      <c r="M13" s="154"/>
      <c r="N13" s="154"/>
      <c r="O13" s="154"/>
      <c r="P13" s="154"/>
      <c r="Q13" s="154"/>
      <c r="R13" s="154"/>
      <c r="S13" s="154"/>
      <c r="T13" s="154"/>
      <c r="U13" s="154"/>
      <c r="V13" s="154"/>
      <c r="W13" s="154"/>
      <c r="X13" s="154"/>
      <c r="Y13" s="154"/>
      <c r="Z13" s="154"/>
      <c r="AA13" s="154"/>
    </row>
    <row r="14">
      <c r="A14" s="180"/>
      <c r="B14" s="180"/>
      <c r="C14" s="219" t="s">
        <v>375</v>
      </c>
      <c r="D14" s="220" t="s">
        <v>376</v>
      </c>
      <c r="E14" s="220" t="s">
        <v>377</v>
      </c>
      <c r="F14" s="220" t="s">
        <v>378</v>
      </c>
      <c r="G14" s="220" t="s">
        <v>379</v>
      </c>
      <c r="H14" s="220" t="s">
        <v>380</v>
      </c>
      <c r="I14" s="221" t="s">
        <v>381</v>
      </c>
      <c r="J14" s="221" t="s">
        <v>86</v>
      </c>
      <c r="K14" s="220" t="s">
        <v>382</v>
      </c>
      <c r="L14" s="162"/>
      <c r="M14" s="162"/>
      <c r="N14" s="154"/>
      <c r="O14" s="154"/>
      <c r="P14" s="154"/>
      <c r="Q14" s="154"/>
      <c r="R14" s="154"/>
      <c r="S14" s="154"/>
      <c r="T14" s="154"/>
      <c r="U14" s="154"/>
      <c r="V14" s="154"/>
      <c r="W14" s="154"/>
      <c r="X14" s="154"/>
      <c r="Y14" s="154"/>
      <c r="Z14" s="154"/>
      <c r="AA14" s="154"/>
    </row>
    <row r="15">
      <c r="A15" s="180"/>
      <c r="B15" s="180"/>
      <c r="C15" s="230" t="s">
        <v>383</v>
      </c>
      <c r="D15" s="223">
        <v>1.3</v>
      </c>
      <c r="E15" s="224">
        <v>86.0</v>
      </c>
      <c r="F15" s="225">
        <f t="shared" ref="F15:F21" si="1">D15*(E15/100)</f>
        <v>1.118</v>
      </c>
      <c r="G15" s="226">
        <f t="shared" ref="G15:G23" si="2">F15*$D$13</f>
        <v>23.478</v>
      </c>
      <c r="H15" s="227">
        <f t="shared" ref="H15:H21" si="3">D15*$D$13</f>
        <v>27.3</v>
      </c>
      <c r="I15" s="228">
        <v>7.0</v>
      </c>
      <c r="J15" s="196" t="s">
        <v>384</v>
      </c>
      <c r="K15" s="229">
        <f>H15*(I15/56)</f>
        <v>3.4125</v>
      </c>
      <c r="L15" s="154"/>
      <c r="M15" s="154"/>
      <c r="N15" s="154"/>
      <c r="O15" s="154"/>
      <c r="P15" s="154"/>
      <c r="Q15" s="154"/>
      <c r="R15" s="154"/>
      <c r="S15" s="154"/>
      <c r="T15" s="154"/>
      <c r="U15" s="154"/>
      <c r="V15" s="154"/>
      <c r="W15" s="154"/>
      <c r="X15" s="154"/>
      <c r="Y15" s="154"/>
      <c r="Z15" s="154"/>
      <c r="AA15" s="154"/>
    </row>
    <row r="16">
      <c r="A16" s="180"/>
      <c r="B16" s="180"/>
      <c r="C16" s="230" t="s">
        <v>448</v>
      </c>
      <c r="D16" s="223"/>
      <c r="E16" s="224">
        <v>86.0</v>
      </c>
      <c r="F16" s="225">
        <f t="shared" si="1"/>
        <v>0</v>
      </c>
      <c r="G16" s="226">
        <f t="shared" si="2"/>
        <v>0</v>
      </c>
      <c r="H16" s="227">
        <f t="shared" si="3"/>
        <v>0</v>
      </c>
      <c r="I16" s="228"/>
      <c r="J16" s="196" t="s">
        <v>384</v>
      </c>
      <c r="K16" s="229">
        <f>H16*(I16/32)</f>
        <v>0</v>
      </c>
      <c r="L16" s="154"/>
      <c r="M16" s="154"/>
      <c r="N16" s="154"/>
      <c r="O16" s="154"/>
      <c r="P16" s="154"/>
      <c r="Q16" s="154"/>
      <c r="R16" s="154"/>
      <c r="S16" s="154"/>
      <c r="T16" s="154"/>
      <c r="U16" s="154"/>
      <c r="V16" s="154"/>
      <c r="W16" s="154"/>
      <c r="X16" s="154"/>
      <c r="Y16" s="154"/>
      <c r="Z16" s="154"/>
      <c r="AA16" s="154"/>
    </row>
    <row r="17">
      <c r="A17" s="180"/>
      <c r="B17" s="180"/>
      <c r="C17" s="230"/>
      <c r="D17" s="223"/>
      <c r="E17" s="224">
        <v>92.0</v>
      </c>
      <c r="F17" s="225">
        <f t="shared" si="1"/>
        <v>0</v>
      </c>
      <c r="G17" s="226">
        <f t="shared" si="2"/>
        <v>0</v>
      </c>
      <c r="H17" s="227">
        <f t="shared" si="3"/>
        <v>0</v>
      </c>
      <c r="I17" s="228">
        <v>131.0</v>
      </c>
      <c r="J17" s="196" t="s">
        <v>385</v>
      </c>
      <c r="K17" s="229">
        <f>H17*(I17/2000)</f>
        <v>0</v>
      </c>
      <c r="L17" s="154"/>
      <c r="M17" s="154"/>
      <c r="N17" s="154"/>
      <c r="O17" s="154"/>
      <c r="P17" s="154"/>
      <c r="Q17" s="154"/>
      <c r="R17" s="154"/>
      <c r="S17" s="154"/>
      <c r="T17" s="154"/>
      <c r="U17" s="154"/>
      <c r="V17" s="154"/>
      <c r="W17" s="154"/>
      <c r="X17" s="154"/>
      <c r="Y17" s="154"/>
      <c r="Z17" s="154"/>
      <c r="AA17" s="154"/>
    </row>
    <row r="18">
      <c r="A18" s="180"/>
      <c r="B18" s="180"/>
      <c r="C18" s="230" t="s">
        <v>386</v>
      </c>
      <c r="D18" s="223">
        <v>0.3</v>
      </c>
      <c r="E18" s="224">
        <v>92.0</v>
      </c>
      <c r="F18" s="225">
        <f t="shared" si="1"/>
        <v>0.276</v>
      </c>
      <c r="G18" s="226">
        <f t="shared" si="2"/>
        <v>5.796</v>
      </c>
      <c r="H18" s="227">
        <f t="shared" si="3"/>
        <v>6.3</v>
      </c>
      <c r="I18" s="228">
        <v>936.0</v>
      </c>
      <c r="J18" s="196" t="s">
        <v>385</v>
      </c>
      <c r="K18" s="229">
        <f t="shared" ref="K18:K20" si="4">H18*I18/2000</f>
        <v>2.9484</v>
      </c>
      <c r="L18" s="154"/>
      <c r="M18" s="154"/>
      <c r="N18" s="154"/>
      <c r="O18" s="154"/>
      <c r="P18" s="154"/>
      <c r="Q18" s="154"/>
      <c r="R18" s="154"/>
      <c r="S18" s="154"/>
      <c r="T18" s="154"/>
      <c r="U18" s="154"/>
      <c r="V18" s="154"/>
      <c r="W18" s="154"/>
      <c r="X18" s="154"/>
      <c r="Y18" s="154"/>
      <c r="Z18" s="154"/>
      <c r="AA18" s="154"/>
    </row>
    <row r="19">
      <c r="A19" s="180"/>
      <c r="B19" s="180"/>
      <c r="C19" s="230"/>
      <c r="D19" s="223"/>
      <c r="E19" s="224">
        <v>92.0</v>
      </c>
      <c r="F19" s="225">
        <f t="shared" si="1"/>
        <v>0</v>
      </c>
      <c r="G19" s="226">
        <f t="shared" si="2"/>
        <v>0</v>
      </c>
      <c r="H19" s="227">
        <f t="shared" si="3"/>
        <v>0</v>
      </c>
      <c r="I19" s="228"/>
      <c r="J19" s="196" t="s">
        <v>385</v>
      </c>
      <c r="K19" s="229">
        <f t="shared" si="4"/>
        <v>0</v>
      </c>
      <c r="L19" s="154"/>
      <c r="M19" s="154"/>
      <c r="N19" s="154"/>
      <c r="O19" s="154"/>
      <c r="P19" s="154"/>
      <c r="Q19" s="154"/>
      <c r="R19" s="154"/>
      <c r="S19" s="154"/>
      <c r="T19" s="154"/>
      <c r="U19" s="154"/>
      <c r="V19" s="154"/>
      <c r="W19" s="154"/>
      <c r="X19" s="154"/>
      <c r="Y19" s="154"/>
      <c r="Z19" s="154"/>
      <c r="AA19" s="154"/>
    </row>
    <row r="20">
      <c r="A20" s="180"/>
      <c r="B20" s="180"/>
      <c r="C20" s="230" t="s">
        <v>387</v>
      </c>
      <c r="D20" s="223">
        <v>0.7</v>
      </c>
      <c r="E20" s="224">
        <v>87.0</v>
      </c>
      <c r="F20" s="225">
        <f t="shared" si="1"/>
        <v>0.609</v>
      </c>
      <c r="G20" s="226">
        <f t="shared" si="2"/>
        <v>12.789</v>
      </c>
      <c r="H20" s="227">
        <f t="shared" si="3"/>
        <v>14.7</v>
      </c>
      <c r="I20" s="228">
        <v>135.0</v>
      </c>
      <c r="J20" s="196" t="s">
        <v>385</v>
      </c>
      <c r="K20" s="229">
        <f t="shared" si="4"/>
        <v>0.99225</v>
      </c>
      <c r="L20" s="154"/>
      <c r="M20" s="154"/>
      <c r="N20" s="154"/>
      <c r="O20" s="154"/>
      <c r="P20" s="154"/>
      <c r="Q20" s="154"/>
      <c r="R20" s="154"/>
      <c r="S20" s="154"/>
      <c r="T20" s="154"/>
      <c r="U20" s="154"/>
      <c r="V20" s="154"/>
      <c r="W20" s="154"/>
      <c r="X20" s="154"/>
      <c r="Y20" s="154"/>
      <c r="Z20" s="154"/>
      <c r="AA20" s="154"/>
    </row>
    <row r="21">
      <c r="A21" s="180"/>
      <c r="B21" s="180"/>
      <c r="C21" s="230" t="s">
        <v>388</v>
      </c>
      <c r="D21" s="223"/>
      <c r="E21" s="224">
        <v>38.0</v>
      </c>
      <c r="F21" s="225">
        <f t="shared" si="1"/>
        <v>0</v>
      </c>
      <c r="G21" s="226">
        <f t="shared" si="2"/>
        <v>0</v>
      </c>
      <c r="H21" s="227">
        <f t="shared" si="3"/>
        <v>0</v>
      </c>
      <c r="I21" s="228"/>
      <c r="J21" s="196" t="s">
        <v>385</v>
      </c>
      <c r="K21" s="229">
        <f>H21*(I21/2000)</f>
        <v>0</v>
      </c>
      <c r="L21" s="154"/>
      <c r="M21" s="154"/>
      <c r="N21" s="154"/>
      <c r="O21" s="154"/>
      <c r="P21" s="154"/>
      <c r="Q21" s="154"/>
      <c r="R21" s="154"/>
      <c r="S21" s="154"/>
      <c r="T21" s="154"/>
      <c r="U21" s="154"/>
      <c r="V21" s="154"/>
      <c r="W21" s="154"/>
      <c r="X21" s="154"/>
      <c r="Y21" s="154"/>
      <c r="Z21" s="154"/>
      <c r="AA21" s="154"/>
    </row>
    <row r="22" ht="15.75" customHeight="1">
      <c r="A22" s="180"/>
      <c r="B22" s="180"/>
      <c r="C22" s="231" t="s">
        <v>389</v>
      </c>
      <c r="D22" s="223">
        <v>0.18</v>
      </c>
      <c r="E22" s="224">
        <v>98.0</v>
      </c>
      <c r="F22" s="232">
        <f t="shared" ref="F22:F23" si="5">(D22*(E22/100))/16</f>
        <v>0.011025</v>
      </c>
      <c r="G22" s="233">
        <f t="shared" si="2"/>
        <v>0.231525</v>
      </c>
      <c r="H22" s="234">
        <f t="shared" ref="H22:H23" si="6">(D22*$D$13)/16</f>
        <v>0.23625</v>
      </c>
      <c r="I22" s="228">
        <v>30.0</v>
      </c>
      <c r="J22" s="196" t="s">
        <v>390</v>
      </c>
      <c r="K22" s="229">
        <f t="shared" ref="K22:K23" si="7">H22*(I22/50)</f>
        <v>0.14175</v>
      </c>
      <c r="L22" s="154"/>
      <c r="M22" s="154"/>
      <c r="N22" s="154"/>
      <c r="O22" s="154"/>
      <c r="P22" s="154"/>
      <c r="Q22" s="154"/>
      <c r="R22" s="154"/>
      <c r="S22" s="154"/>
      <c r="T22" s="154"/>
      <c r="U22" s="154"/>
      <c r="V22" s="154"/>
      <c r="W22" s="154"/>
      <c r="X22" s="154"/>
      <c r="Y22" s="154"/>
      <c r="Z22" s="154"/>
      <c r="AA22" s="154"/>
    </row>
    <row r="23" ht="15.75" customHeight="1">
      <c r="A23" s="180"/>
      <c r="B23" s="180"/>
      <c r="C23" s="231" t="s">
        <v>391</v>
      </c>
      <c r="D23" s="223">
        <v>0.2</v>
      </c>
      <c r="E23" s="224">
        <v>98.0</v>
      </c>
      <c r="F23" s="259">
        <f t="shared" si="5"/>
        <v>0.01225</v>
      </c>
      <c r="G23" s="233">
        <f t="shared" si="2"/>
        <v>0.25725</v>
      </c>
      <c r="H23" s="234">
        <f t="shared" si="6"/>
        <v>0.2625</v>
      </c>
      <c r="I23" s="228">
        <v>8.0</v>
      </c>
      <c r="J23" s="196" t="s">
        <v>390</v>
      </c>
      <c r="K23" s="229">
        <f t="shared" si="7"/>
        <v>0.042</v>
      </c>
      <c r="L23" s="154"/>
      <c r="M23" s="154"/>
      <c r="N23" s="154"/>
      <c r="O23" s="154"/>
      <c r="P23" s="154"/>
      <c r="Q23" s="154"/>
      <c r="R23" s="154"/>
      <c r="S23" s="154"/>
      <c r="T23" s="154"/>
      <c r="U23" s="154"/>
      <c r="V23" s="154"/>
      <c r="W23" s="154"/>
      <c r="X23" s="154"/>
      <c r="Y23" s="154"/>
      <c r="Z23" s="154"/>
      <c r="AA23" s="154"/>
    </row>
    <row r="24" ht="15.75" customHeight="1">
      <c r="A24" s="180"/>
      <c r="B24" s="180"/>
      <c r="C24" s="175" t="s">
        <v>184</v>
      </c>
      <c r="D24" s="235">
        <f>(SUM(D15:D21))+((D22+D23)/16)</f>
        <v>2.32375</v>
      </c>
      <c r="E24" s="175"/>
      <c r="F24" s="260">
        <f t="shared" ref="F24:H24" si="8">SUM(F15:F23)</f>
        <v>2.026275</v>
      </c>
      <c r="G24" s="261">
        <f t="shared" si="8"/>
        <v>42.551775</v>
      </c>
      <c r="H24" s="201">
        <f t="shared" si="8"/>
        <v>48.79875</v>
      </c>
      <c r="I24" s="175" t="s">
        <v>392</v>
      </c>
      <c r="J24" s="175"/>
      <c r="K24" s="237">
        <f>SUM(K15:K23)</f>
        <v>7.5369</v>
      </c>
      <c r="L24" s="154"/>
      <c r="M24" s="154"/>
      <c r="N24" s="154"/>
      <c r="O24" s="154"/>
      <c r="P24" s="154"/>
      <c r="Q24" s="154"/>
      <c r="R24" s="154"/>
      <c r="S24" s="154"/>
      <c r="T24" s="154"/>
      <c r="U24" s="154"/>
      <c r="V24" s="154"/>
      <c r="W24" s="154"/>
      <c r="X24" s="154"/>
      <c r="Y24" s="154"/>
      <c r="Z24" s="154"/>
      <c r="AA24" s="154"/>
    </row>
    <row r="25" ht="15.75" customHeight="1">
      <c r="A25" s="180"/>
      <c r="B25" s="180"/>
      <c r="C25" s="175"/>
      <c r="D25" s="175"/>
      <c r="E25" s="175"/>
      <c r="F25" s="262"/>
      <c r="G25" s="175"/>
      <c r="H25" s="175" t="s">
        <v>320</v>
      </c>
      <c r="I25" s="154"/>
      <c r="J25" s="175"/>
      <c r="K25" s="237">
        <f>K24/D13</f>
        <v>0.3589</v>
      </c>
      <c r="L25" s="154"/>
      <c r="M25" s="154"/>
      <c r="N25" s="154"/>
      <c r="O25" s="154"/>
      <c r="P25" s="154"/>
      <c r="Q25" s="154"/>
      <c r="R25" s="154"/>
      <c r="S25" s="154"/>
      <c r="T25" s="154"/>
      <c r="U25" s="154"/>
      <c r="V25" s="154"/>
      <c r="W25" s="154"/>
      <c r="X25" s="154"/>
      <c r="Y25" s="154"/>
      <c r="Z25" s="154"/>
      <c r="AA25" s="154"/>
    </row>
    <row r="26" ht="15.75" customHeight="1">
      <c r="A26" s="180"/>
      <c r="B26" s="180"/>
      <c r="C26" s="180"/>
      <c r="D26" s="180"/>
      <c r="E26" s="180"/>
      <c r="F26" s="180"/>
      <c r="G26" s="180"/>
      <c r="H26" s="175" t="s">
        <v>394</v>
      </c>
      <c r="I26" s="154"/>
      <c r="J26" s="180"/>
      <c r="K26" s="238">
        <f>K24/H24</f>
        <v>0.1544486283</v>
      </c>
      <c r="L26" s="154"/>
      <c r="M26" s="154"/>
      <c r="N26" s="154"/>
      <c r="O26" s="154"/>
      <c r="P26" s="154"/>
      <c r="Q26" s="154"/>
      <c r="R26" s="154"/>
      <c r="S26" s="154"/>
      <c r="T26" s="154"/>
      <c r="U26" s="154"/>
      <c r="V26" s="154"/>
      <c r="W26" s="154"/>
      <c r="X26" s="154"/>
      <c r="Y26" s="154"/>
      <c r="Z26" s="154"/>
      <c r="AA26" s="154"/>
    </row>
    <row r="27" ht="15.75" customHeight="1">
      <c r="A27" s="153"/>
      <c r="B27" s="153"/>
      <c r="C27" s="153"/>
      <c r="D27" s="153"/>
      <c r="E27" s="153"/>
      <c r="F27" s="153"/>
      <c r="G27" s="153"/>
      <c r="H27" s="152" t="s">
        <v>395</v>
      </c>
      <c r="J27" s="153"/>
      <c r="K27" s="206">
        <f>K24/G24</f>
        <v>0.177123046</v>
      </c>
      <c r="M27" s="153"/>
      <c r="N27" s="153"/>
    </row>
    <row r="28" ht="15.75" customHeight="1">
      <c r="A28" s="263"/>
      <c r="B28" s="264" t="s">
        <v>449</v>
      </c>
      <c r="C28" s="265"/>
      <c r="D28" s="265"/>
      <c r="E28" s="265"/>
      <c r="F28" s="265"/>
      <c r="G28" s="265"/>
      <c r="H28" s="182"/>
      <c r="I28" s="266"/>
      <c r="J28" s="265"/>
      <c r="K28" s="267"/>
      <c r="M28" s="153"/>
      <c r="N28" s="153"/>
    </row>
    <row r="29" ht="15.75" customHeight="1">
      <c r="C29" s="239" t="s">
        <v>450</v>
      </c>
      <c r="D29" s="242">
        <v>102.0</v>
      </c>
      <c r="E29" s="239" t="s">
        <v>312</v>
      </c>
    </row>
    <row r="30" ht="15.75" customHeight="1">
      <c r="A30" s="180"/>
      <c r="B30" s="180"/>
      <c r="C30" s="219" t="s">
        <v>375</v>
      </c>
      <c r="D30" s="220" t="s">
        <v>376</v>
      </c>
      <c r="E30" s="220" t="s">
        <v>377</v>
      </c>
      <c r="F30" s="220" t="s">
        <v>378</v>
      </c>
      <c r="G30" s="220" t="s">
        <v>379</v>
      </c>
      <c r="H30" s="220" t="s">
        <v>380</v>
      </c>
      <c r="I30" s="221" t="s">
        <v>381</v>
      </c>
      <c r="J30" s="221" t="s">
        <v>86</v>
      </c>
      <c r="K30" s="220" t="s">
        <v>382</v>
      </c>
      <c r="L30" s="162"/>
      <c r="M30" s="162"/>
      <c r="N30" s="154"/>
      <c r="O30" s="154"/>
      <c r="P30" s="154"/>
      <c r="Q30" s="154"/>
      <c r="R30" s="154"/>
      <c r="S30" s="154"/>
      <c r="T30" s="154"/>
      <c r="U30" s="154"/>
      <c r="V30" s="154"/>
      <c r="W30" s="154"/>
      <c r="X30" s="154"/>
      <c r="Y30" s="154"/>
      <c r="Z30" s="154"/>
      <c r="AA30" s="154"/>
    </row>
    <row r="31" ht="15.75" customHeight="1">
      <c r="A31" s="180"/>
      <c r="B31" s="180"/>
      <c r="C31" s="230" t="s">
        <v>383</v>
      </c>
      <c r="D31" s="223">
        <v>0.5</v>
      </c>
      <c r="E31" s="224">
        <v>86.0</v>
      </c>
      <c r="F31" s="225">
        <f t="shared" ref="F31:F37" si="9">D31*(E31/100)</f>
        <v>0.43</v>
      </c>
      <c r="G31" s="226">
        <f t="shared" ref="G31:G39" si="10">F31*$D$29</f>
        <v>43.86</v>
      </c>
      <c r="H31" s="227">
        <f t="shared" ref="H31:H37" si="11">D31*$D$29</f>
        <v>51</v>
      </c>
      <c r="I31" s="228">
        <v>7.0</v>
      </c>
      <c r="J31" s="196" t="s">
        <v>384</v>
      </c>
      <c r="K31" s="229">
        <f>H31*(I31/56)</f>
        <v>6.375</v>
      </c>
      <c r="L31" s="154"/>
      <c r="M31" s="154"/>
      <c r="N31" s="154"/>
      <c r="O31" s="154"/>
      <c r="P31" s="154"/>
      <c r="Q31" s="154"/>
      <c r="R31" s="154"/>
      <c r="S31" s="154"/>
      <c r="T31" s="154"/>
      <c r="U31" s="154"/>
      <c r="V31" s="154"/>
      <c r="W31" s="154"/>
      <c r="X31" s="154"/>
      <c r="Y31" s="154"/>
      <c r="Z31" s="154"/>
      <c r="AA31" s="154"/>
    </row>
    <row r="32" ht="15.75" customHeight="1">
      <c r="A32" s="180"/>
      <c r="B32" s="180"/>
      <c r="C32" s="230" t="s">
        <v>448</v>
      </c>
      <c r="D32" s="223"/>
      <c r="E32" s="224">
        <v>86.0</v>
      </c>
      <c r="F32" s="225">
        <f t="shared" si="9"/>
        <v>0</v>
      </c>
      <c r="G32" s="226">
        <f t="shared" si="10"/>
        <v>0</v>
      </c>
      <c r="H32" s="227">
        <f t="shared" si="11"/>
        <v>0</v>
      </c>
      <c r="I32" s="228"/>
      <c r="J32" s="196" t="s">
        <v>384</v>
      </c>
      <c r="K32" s="229">
        <f>H32*(I32/32)</f>
        <v>0</v>
      </c>
      <c r="L32" s="154"/>
      <c r="M32" s="154"/>
      <c r="N32" s="154"/>
      <c r="O32" s="154"/>
      <c r="P32" s="154"/>
      <c r="Q32" s="154"/>
      <c r="R32" s="154"/>
      <c r="S32" s="154"/>
      <c r="T32" s="154"/>
      <c r="U32" s="154"/>
      <c r="V32" s="154"/>
      <c r="W32" s="154"/>
      <c r="X32" s="154"/>
      <c r="Y32" s="154"/>
      <c r="Z32" s="154"/>
      <c r="AA32" s="154"/>
    </row>
    <row r="33" ht="15.75" customHeight="1">
      <c r="A33" s="180"/>
      <c r="B33" s="180"/>
      <c r="C33" s="230"/>
      <c r="D33" s="223"/>
      <c r="E33" s="224">
        <v>92.0</v>
      </c>
      <c r="F33" s="225">
        <f t="shared" si="9"/>
        <v>0</v>
      </c>
      <c r="G33" s="226">
        <f t="shared" si="10"/>
        <v>0</v>
      </c>
      <c r="H33" s="227">
        <f t="shared" si="11"/>
        <v>0</v>
      </c>
      <c r="I33" s="228">
        <v>131.0</v>
      </c>
      <c r="J33" s="196" t="s">
        <v>385</v>
      </c>
      <c r="K33" s="229">
        <f>H33*(I33/2000)</f>
        <v>0</v>
      </c>
      <c r="L33" s="154"/>
      <c r="M33" s="154"/>
      <c r="N33" s="154"/>
      <c r="O33" s="154"/>
      <c r="P33" s="154"/>
      <c r="Q33" s="154"/>
      <c r="R33" s="154"/>
      <c r="S33" s="154"/>
      <c r="T33" s="154"/>
      <c r="U33" s="154"/>
      <c r="V33" s="154"/>
      <c r="W33" s="154"/>
      <c r="X33" s="154"/>
      <c r="Y33" s="154"/>
      <c r="Z33" s="154"/>
      <c r="AA33" s="154"/>
    </row>
    <row r="34" ht="15.75" customHeight="1">
      <c r="A34" s="180"/>
      <c r="B34" s="180"/>
      <c r="C34" s="230" t="s">
        <v>386</v>
      </c>
      <c r="D34" s="223">
        <v>0.25</v>
      </c>
      <c r="E34" s="224">
        <v>92.0</v>
      </c>
      <c r="F34" s="225">
        <f t="shared" si="9"/>
        <v>0.23</v>
      </c>
      <c r="G34" s="226">
        <f t="shared" si="10"/>
        <v>23.46</v>
      </c>
      <c r="H34" s="227">
        <f t="shared" si="11"/>
        <v>25.5</v>
      </c>
      <c r="I34" s="228">
        <v>936.0</v>
      </c>
      <c r="J34" s="196" t="s">
        <v>385</v>
      </c>
      <c r="K34" s="229">
        <f t="shared" ref="K34:K36" si="12">H34*I34/2000</f>
        <v>11.934</v>
      </c>
      <c r="L34" s="154"/>
      <c r="M34" s="154"/>
      <c r="N34" s="154"/>
      <c r="O34" s="154"/>
      <c r="P34" s="154"/>
      <c r="Q34" s="154"/>
      <c r="R34" s="154"/>
      <c r="S34" s="154"/>
      <c r="T34" s="154"/>
      <c r="U34" s="154"/>
      <c r="V34" s="154"/>
      <c r="W34" s="154"/>
      <c r="X34" s="154"/>
      <c r="Y34" s="154"/>
      <c r="Z34" s="154"/>
      <c r="AA34" s="154"/>
    </row>
    <row r="35" ht="15.75" customHeight="1">
      <c r="A35" s="180"/>
      <c r="B35" s="180"/>
      <c r="C35" s="230"/>
      <c r="D35" s="223"/>
      <c r="E35" s="224">
        <v>92.0</v>
      </c>
      <c r="F35" s="225">
        <f t="shared" si="9"/>
        <v>0</v>
      </c>
      <c r="G35" s="226">
        <f t="shared" si="10"/>
        <v>0</v>
      </c>
      <c r="H35" s="227">
        <f t="shared" si="11"/>
        <v>0</v>
      </c>
      <c r="I35" s="228"/>
      <c r="J35" s="196" t="s">
        <v>385</v>
      </c>
      <c r="K35" s="229">
        <f t="shared" si="12"/>
        <v>0</v>
      </c>
      <c r="L35" s="154"/>
      <c r="M35" s="154"/>
      <c r="N35" s="154"/>
      <c r="O35" s="154"/>
      <c r="P35" s="154"/>
      <c r="Q35" s="154"/>
      <c r="R35" s="154"/>
      <c r="S35" s="154"/>
      <c r="T35" s="154"/>
      <c r="U35" s="154"/>
      <c r="V35" s="154"/>
      <c r="W35" s="154"/>
      <c r="X35" s="154"/>
      <c r="Y35" s="154"/>
      <c r="Z35" s="154"/>
      <c r="AA35" s="154"/>
    </row>
    <row r="36" ht="15.75" customHeight="1">
      <c r="A36" s="180"/>
      <c r="B36" s="180"/>
      <c r="C36" s="230" t="s">
        <v>387</v>
      </c>
      <c r="D36" s="223"/>
      <c r="E36" s="224">
        <v>87.0</v>
      </c>
      <c r="F36" s="225">
        <f t="shared" si="9"/>
        <v>0</v>
      </c>
      <c r="G36" s="226">
        <f t="shared" si="10"/>
        <v>0</v>
      </c>
      <c r="H36" s="227">
        <f t="shared" si="11"/>
        <v>0</v>
      </c>
      <c r="I36" s="228">
        <v>135.0</v>
      </c>
      <c r="J36" s="196" t="s">
        <v>385</v>
      </c>
      <c r="K36" s="229">
        <f t="shared" si="12"/>
        <v>0</v>
      </c>
      <c r="L36" s="154"/>
      <c r="M36" s="154"/>
      <c r="N36" s="154"/>
      <c r="O36" s="154"/>
      <c r="P36" s="154"/>
      <c r="Q36" s="154"/>
      <c r="R36" s="154"/>
      <c r="S36" s="154"/>
      <c r="T36" s="154"/>
      <c r="U36" s="154"/>
      <c r="V36" s="154"/>
      <c r="W36" s="154"/>
      <c r="X36" s="154"/>
      <c r="Y36" s="154"/>
      <c r="Z36" s="154"/>
      <c r="AA36" s="154"/>
    </row>
    <row r="37" ht="15.75" customHeight="1">
      <c r="A37" s="180"/>
      <c r="B37" s="180"/>
      <c r="C37" s="230" t="s">
        <v>388</v>
      </c>
      <c r="D37" s="223"/>
      <c r="E37" s="224">
        <v>38.0</v>
      </c>
      <c r="F37" s="225">
        <f t="shared" si="9"/>
        <v>0</v>
      </c>
      <c r="G37" s="226">
        <f t="shared" si="10"/>
        <v>0</v>
      </c>
      <c r="H37" s="227">
        <f t="shared" si="11"/>
        <v>0</v>
      </c>
      <c r="I37" s="228"/>
      <c r="J37" s="196" t="s">
        <v>385</v>
      </c>
      <c r="K37" s="229">
        <f>H37*(I37/2000)</f>
        <v>0</v>
      </c>
      <c r="L37" s="154"/>
      <c r="M37" s="154"/>
      <c r="N37" s="154"/>
      <c r="O37" s="154"/>
      <c r="P37" s="154"/>
      <c r="Q37" s="154"/>
      <c r="R37" s="154"/>
      <c r="S37" s="154"/>
      <c r="T37" s="154"/>
      <c r="U37" s="154"/>
      <c r="V37" s="154"/>
      <c r="W37" s="154"/>
      <c r="X37" s="154"/>
      <c r="Y37" s="154"/>
      <c r="Z37" s="154"/>
      <c r="AA37" s="154"/>
    </row>
    <row r="38" ht="15.75" customHeight="1">
      <c r="A38" s="180"/>
      <c r="B38" s="180"/>
      <c r="C38" s="231" t="s">
        <v>389</v>
      </c>
      <c r="D38" s="223">
        <v>0.25</v>
      </c>
      <c r="E38" s="224">
        <v>98.0</v>
      </c>
      <c r="F38" s="232">
        <f t="shared" ref="F38:F39" si="13">(D38*(E38/100))/16</f>
        <v>0.0153125</v>
      </c>
      <c r="G38" s="233">
        <f t="shared" si="10"/>
        <v>1.561875</v>
      </c>
      <c r="H38" s="234">
        <f t="shared" ref="H38:H39" si="14">(D38*$D$29)/16</f>
        <v>1.59375</v>
      </c>
      <c r="I38" s="228">
        <v>30.0</v>
      </c>
      <c r="J38" s="196" t="s">
        <v>390</v>
      </c>
      <c r="K38" s="229">
        <f t="shared" ref="K38:K39" si="15">H38*(I38/50)</f>
        <v>0.95625</v>
      </c>
      <c r="L38" s="154"/>
      <c r="M38" s="154"/>
      <c r="N38" s="154"/>
      <c r="O38" s="154"/>
      <c r="P38" s="154"/>
      <c r="Q38" s="154"/>
      <c r="R38" s="154"/>
      <c r="S38" s="154"/>
      <c r="T38" s="154"/>
      <c r="U38" s="154"/>
      <c r="V38" s="154"/>
      <c r="W38" s="154"/>
      <c r="X38" s="154"/>
      <c r="Y38" s="154"/>
      <c r="Z38" s="154"/>
      <c r="AA38" s="154"/>
    </row>
    <row r="39" ht="15.75" customHeight="1">
      <c r="A39" s="180"/>
      <c r="B39" s="180"/>
      <c r="C39" s="231" t="s">
        <v>391</v>
      </c>
      <c r="D39" s="223">
        <v>0.27</v>
      </c>
      <c r="E39" s="224">
        <v>98.0</v>
      </c>
      <c r="F39" s="259">
        <f t="shared" si="13"/>
        <v>0.0165375</v>
      </c>
      <c r="G39" s="233">
        <f t="shared" si="10"/>
        <v>1.686825</v>
      </c>
      <c r="H39" s="234">
        <f t="shared" si="14"/>
        <v>1.72125</v>
      </c>
      <c r="I39" s="228">
        <v>8.0</v>
      </c>
      <c r="J39" s="196" t="s">
        <v>390</v>
      </c>
      <c r="K39" s="229">
        <f t="shared" si="15"/>
        <v>0.2754</v>
      </c>
      <c r="L39" s="154"/>
      <c r="M39" s="154"/>
      <c r="N39" s="154"/>
      <c r="O39" s="154"/>
      <c r="P39" s="154"/>
      <c r="Q39" s="154"/>
      <c r="R39" s="154"/>
      <c r="S39" s="154"/>
      <c r="T39" s="154"/>
      <c r="U39" s="154"/>
      <c r="V39" s="154"/>
      <c r="W39" s="154"/>
      <c r="X39" s="154"/>
      <c r="Y39" s="154"/>
      <c r="Z39" s="154"/>
      <c r="AA39" s="154"/>
    </row>
    <row r="40" ht="15.75" customHeight="1">
      <c r="A40" s="180"/>
      <c r="B40" s="180"/>
      <c r="C40" s="175" t="s">
        <v>184</v>
      </c>
      <c r="D40" s="235">
        <f>(SUM(D31:D37))+((D38+D39)/16)</f>
        <v>0.7825</v>
      </c>
      <c r="E40" s="175"/>
      <c r="F40" s="260">
        <f t="shared" ref="F40:H40" si="16">SUM(F31:F39)</f>
        <v>0.69185</v>
      </c>
      <c r="G40" s="261">
        <f t="shared" si="16"/>
        <v>70.5687</v>
      </c>
      <c r="H40" s="201">
        <f t="shared" si="16"/>
        <v>79.815</v>
      </c>
      <c r="I40" s="175" t="s">
        <v>392</v>
      </c>
      <c r="J40" s="175"/>
      <c r="K40" s="237">
        <f>SUM(K31:K39)</f>
        <v>19.54065</v>
      </c>
      <c r="L40" s="154"/>
      <c r="M40" s="154"/>
      <c r="N40" s="154"/>
      <c r="O40" s="154"/>
      <c r="P40" s="154"/>
      <c r="Q40" s="154"/>
      <c r="R40" s="154"/>
      <c r="S40" s="154"/>
      <c r="T40" s="154"/>
      <c r="U40" s="154"/>
      <c r="V40" s="154"/>
      <c r="W40" s="154"/>
      <c r="X40" s="154"/>
      <c r="Y40" s="154"/>
      <c r="Z40" s="154"/>
      <c r="AA40" s="154"/>
    </row>
    <row r="41" ht="15.75" customHeight="1">
      <c r="A41" s="180"/>
      <c r="B41" s="180"/>
      <c r="C41" s="175"/>
      <c r="D41" s="175"/>
      <c r="E41" s="175"/>
      <c r="F41" s="262"/>
      <c r="G41" s="175"/>
      <c r="H41" s="175" t="s">
        <v>320</v>
      </c>
      <c r="I41" s="154"/>
      <c r="J41" s="175"/>
      <c r="K41" s="237">
        <f>K40/D29</f>
        <v>0.191575</v>
      </c>
      <c r="L41" s="154"/>
      <c r="M41" s="154"/>
      <c r="N41" s="154"/>
      <c r="O41" s="154"/>
      <c r="P41" s="154"/>
      <c r="Q41" s="154"/>
      <c r="R41" s="154"/>
      <c r="S41" s="154"/>
      <c r="T41" s="154"/>
      <c r="U41" s="154"/>
      <c r="V41" s="154"/>
      <c r="W41" s="154"/>
      <c r="X41" s="154"/>
      <c r="Y41" s="154"/>
      <c r="Z41" s="154"/>
      <c r="AA41" s="154"/>
    </row>
    <row r="42" ht="15.75" customHeight="1">
      <c r="A42" s="180"/>
      <c r="B42" s="180"/>
      <c r="C42" s="180"/>
      <c r="D42" s="180"/>
      <c r="E42" s="180"/>
      <c r="F42" s="180"/>
      <c r="G42" s="180"/>
      <c r="H42" s="175" t="s">
        <v>394</v>
      </c>
      <c r="I42" s="154"/>
      <c r="J42" s="180"/>
      <c r="K42" s="238">
        <f>K40/H40</f>
        <v>0.2448242812</v>
      </c>
      <c r="L42" s="154"/>
      <c r="M42" s="154"/>
      <c r="N42" s="154"/>
      <c r="O42" s="154"/>
      <c r="P42" s="154"/>
      <c r="Q42" s="154"/>
      <c r="R42" s="154"/>
      <c r="S42" s="154"/>
      <c r="T42" s="154"/>
      <c r="U42" s="154"/>
      <c r="V42" s="154"/>
      <c r="W42" s="154"/>
      <c r="X42" s="154"/>
      <c r="Y42" s="154"/>
      <c r="Z42" s="154"/>
      <c r="AA42" s="154"/>
    </row>
    <row r="43" ht="15.75" customHeight="1">
      <c r="A43" s="153"/>
      <c r="B43" s="153"/>
      <c r="C43" s="153"/>
      <c r="D43" s="153"/>
      <c r="E43" s="153"/>
      <c r="F43" s="153"/>
      <c r="G43" s="153"/>
      <c r="H43" s="152" t="s">
        <v>395</v>
      </c>
      <c r="J43" s="153"/>
      <c r="K43" s="206">
        <f>K40/G40</f>
        <v>0.2769025078</v>
      </c>
      <c r="M43" s="153"/>
      <c r="N43" s="153"/>
    </row>
    <row r="44" ht="15.75" customHeight="1"/>
    <row r="45" ht="15.75" customHeight="1">
      <c r="C45" s="239" t="s">
        <v>396</v>
      </c>
    </row>
    <row r="46" ht="15.75" customHeight="1">
      <c r="C46" s="240" t="s">
        <v>397</v>
      </c>
      <c r="D46" s="241">
        <v>18.0</v>
      </c>
    </row>
    <row r="47" ht="15.75" customHeight="1">
      <c r="C47" s="240" t="s">
        <v>398</v>
      </c>
      <c r="D47" s="242">
        <v>50.0</v>
      </c>
      <c r="F47" s="243" t="s">
        <v>399</v>
      </c>
      <c r="G47" s="244"/>
      <c r="H47" s="244"/>
      <c r="I47" s="244"/>
    </row>
    <row r="48" ht="15.75" customHeight="1">
      <c r="C48" s="240" t="s">
        <v>385</v>
      </c>
      <c r="D48" s="245">
        <f>(D46/D47)*2000</f>
        <v>720</v>
      </c>
      <c r="F48" s="243" t="s">
        <v>383</v>
      </c>
      <c r="G48" s="244" t="s">
        <v>451</v>
      </c>
      <c r="H48" s="244"/>
      <c r="I48" s="244"/>
    </row>
    <row r="49" ht="15.75" customHeight="1">
      <c r="C49" s="246" t="s">
        <v>401</v>
      </c>
      <c r="F49" s="243" t="s">
        <v>115</v>
      </c>
      <c r="G49" s="244" t="s">
        <v>402</v>
      </c>
      <c r="H49" s="244"/>
      <c r="I49" s="244"/>
    </row>
    <row r="50" ht="15.75" customHeight="1">
      <c r="C50" s="240" t="s">
        <v>403</v>
      </c>
      <c r="D50" s="241">
        <v>7.5</v>
      </c>
      <c r="F50" s="243" t="s">
        <v>404</v>
      </c>
      <c r="G50" s="244" t="s">
        <v>405</v>
      </c>
      <c r="H50" s="244"/>
      <c r="I50" s="244"/>
    </row>
    <row r="51" ht="15.75" customHeight="1">
      <c r="C51" s="240" t="s">
        <v>406</v>
      </c>
      <c r="D51" s="242">
        <v>56.0</v>
      </c>
      <c r="F51" s="243" t="s">
        <v>407</v>
      </c>
      <c r="G51" s="244" t="s">
        <v>452</v>
      </c>
      <c r="H51" s="244"/>
      <c r="I51" s="244"/>
    </row>
    <row r="52" ht="15.75" customHeight="1">
      <c r="C52" s="240" t="s">
        <v>385</v>
      </c>
      <c r="D52" s="245">
        <f>(D50/D51)*2000</f>
        <v>267.8571429</v>
      </c>
      <c r="F52" s="244"/>
      <c r="G52" s="244"/>
      <c r="H52" s="244"/>
      <c r="I52" s="244"/>
    </row>
    <row r="53" ht="15.75" customHeight="1">
      <c r="F53" s="244"/>
      <c r="G53" s="244"/>
      <c r="H53" s="244"/>
      <c r="I53" s="244"/>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2016-09-20T17:12:57Z</dcterms:created>
  <dc:creator>Bill Halfman</dc:creator>
</cp:coreProperties>
</file>