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ichard Ehrhardt\Desktop\"/>
    </mc:Choice>
  </mc:AlternateContent>
  <xr:revisionPtr revIDLastSave="0" documentId="8_{355A6417-6AC4-4899-9C5C-1339B32F1693}" xr6:coauthVersionLast="31" xr6:coauthVersionMax="31" xr10:uidLastSave="{00000000-0000-0000-0000-000000000000}"/>
  <bookViews>
    <workbookView xWindow="0" yWindow="0" windowWidth="12960" windowHeight="4985" activeTab="2" xr2:uid="{00000000-000D-0000-FFFF-FFFF00000000}"/>
  </bookViews>
  <sheets>
    <sheet name="Inputs" sheetId="1" r:id="rId1"/>
    <sheet name="Finishing" sheetId="3" r:id="rId2"/>
    <sheet name="ADG_FG templates" sheetId="10" r:id="rId3"/>
    <sheet name="Profit" sheetId="4" r:id="rId4"/>
    <sheet name="Comparisons" sheetId="5" r:id="rId5"/>
    <sheet name="Comparison_calc" sheetId="13" r:id="rId6"/>
    <sheet name="ADG_FG calculations" sheetId="8" r:id="rId7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3" l="1"/>
  <c r="N25" i="3"/>
  <c r="M27" i="3"/>
  <c r="N27" i="3" s="1"/>
  <c r="M26" i="3"/>
  <c r="M25" i="3"/>
  <c r="L24" i="3"/>
  <c r="K25" i="3"/>
  <c r="J96" i="8" l="1"/>
  <c r="J95" i="8"/>
  <c r="J94" i="8"/>
  <c r="J93" i="8"/>
  <c r="F93" i="8"/>
  <c r="J92" i="8"/>
  <c r="F92" i="8"/>
  <c r="J91" i="8"/>
  <c r="F91" i="8"/>
  <c r="J90" i="8"/>
  <c r="F90" i="8"/>
  <c r="B90" i="8"/>
  <c r="J89" i="8"/>
  <c r="F89" i="8"/>
  <c r="B89" i="8"/>
  <c r="J88" i="8"/>
  <c r="F88" i="8"/>
  <c r="B88" i="8"/>
  <c r="J87" i="8"/>
  <c r="F87" i="8"/>
  <c r="B87" i="8"/>
  <c r="J86" i="8"/>
  <c r="F86" i="8"/>
  <c r="B86" i="8"/>
  <c r="J85" i="8"/>
  <c r="F85" i="8"/>
  <c r="B85" i="8"/>
  <c r="J84" i="8"/>
  <c r="F84" i="8"/>
  <c r="B84" i="8"/>
  <c r="J83" i="8"/>
  <c r="F83" i="8"/>
  <c r="B83" i="8"/>
  <c r="J82" i="8"/>
  <c r="F82" i="8"/>
  <c r="B82" i="8"/>
  <c r="J81" i="8"/>
  <c r="F81" i="8"/>
  <c r="B81" i="8"/>
  <c r="K77" i="8"/>
  <c r="L77" i="8"/>
  <c r="L96" i="8" s="1"/>
  <c r="M77" i="8"/>
  <c r="B62" i="8"/>
  <c r="E62" i="8" s="1"/>
  <c r="J76" i="8"/>
  <c r="L76" i="8" s="1"/>
  <c r="L95" i="8" s="1"/>
  <c r="J75" i="8"/>
  <c r="K75" i="8" s="1"/>
  <c r="J74" i="8"/>
  <c r="K74" i="8" s="1"/>
  <c r="F74" i="8"/>
  <c r="G74" i="8" s="1"/>
  <c r="J73" i="8"/>
  <c r="M73" i="8" s="1"/>
  <c r="F73" i="8"/>
  <c r="I73" i="8" s="1"/>
  <c r="J72" i="8"/>
  <c r="L72" i="8" s="1"/>
  <c r="L91" i="8" s="1"/>
  <c r="F72" i="8"/>
  <c r="H72" i="8" s="1"/>
  <c r="H91" i="8" s="1"/>
  <c r="J71" i="8"/>
  <c r="K71" i="8" s="1"/>
  <c r="F71" i="8"/>
  <c r="G71" i="8" s="1"/>
  <c r="B71" i="8"/>
  <c r="D71" i="8" s="1"/>
  <c r="D90" i="8" s="1"/>
  <c r="J70" i="8"/>
  <c r="K70" i="8" s="1"/>
  <c r="F70" i="8"/>
  <c r="G70" i="8" s="1"/>
  <c r="B70" i="8"/>
  <c r="C70" i="8" s="1"/>
  <c r="J69" i="8"/>
  <c r="M69" i="8" s="1"/>
  <c r="F69" i="8"/>
  <c r="I69" i="8" s="1"/>
  <c r="B69" i="8"/>
  <c r="C69" i="8" s="1"/>
  <c r="J68" i="8"/>
  <c r="L68" i="8" s="1"/>
  <c r="L87" i="8" s="1"/>
  <c r="F68" i="8"/>
  <c r="H68" i="8" s="1"/>
  <c r="H87" i="8" s="1"/>
  <c r="B68" i="8"/>
  <c r="E68" i="8" s="1"/>
  <c r="J67" i="8"/>
  <c r="K67" i="8" s="1"/>
  <c r="F67" i="8"/>
  <c r="G67" i="8" s="1"/>
  <c r="B67" i="8"/>
  <c r="D67" i="8" s="1"/>
  <c r="D86" i="8" s="1"/>
  <c r="J66" i="8"/>
  <c r="K66" i="8" s="1"/>
  <c r="F66" i="8"/>
  <c r="G66" i="8" s="1"/>
  <c r="B66" i="8"/>
  <c r="C66" i="8" s="1"/>
  <c r="J65" i="8"/>
  <c r="M65" i="8" s="1"/>
  <c r="F65" i="8"/>
  <c r="I65" i="8" s="1"/>
  <c r="B65" i="8"/>
  <c r="C65" i="8" s="1"/>
  <c r="J64" i="8"/>
  <c r="L64" i="8" s="1"/>
  <c r="L83" i="8" s="1"/>
  <c r="F64" i="8"/>
  <c r="H64" i="8" s="1"/>
  <c r="H83" i="8" s="1"/>
  <c r="B64" i="8"/>
  <c r="E64" i="8" s="1"/>
  <c r="J63" i="8"/>
  <c r="K63" i="8" s="1"/>
  <c r="F63" i="8"/>
  <c r="G63" i="8" s="1"/>
  <c r="B63" i="8"/>
  <c r="D63" i="8" s="1"/>
  <c r="D82" i="8" s="1"/>
  <c r="J62" i="8"/>
  <c r="L62" i="8" s="1"/>
  <c r="L81" i="8" s="1"/>
  <c r="F62" i="8"/>
  <c r="H62" i="8" s="1"/>
  <c r="H81" i="8" s="1"/>
  <c r="C62" i="8" l="1"/>
  <c r="D62" i="8"/>
  <c r="D81" i="8" s="1"/>
  <c r="C71" i="8"/>
  <c r="E69" i="8"/>
  <c r="D68" i="8"/>
  <c r="D87" i="8" s="1"/>
  <c r="C67" i="8"/>
  <c r="E65" i="8"/>
  <c r="D64" i="8"/>
  <c r="D83" i="8" s="1"/>
  <c r="C63" i="8"/>
  <c r="I74" i="8"/>
  <c r="H73" i="8"/>
  <c r="H92" i="8" s="1"/>
  <c r="G72" i="8"/>
  <c r="I70" i="8"/>
  <c r="H69" i="8"/>
  <c r="H88" i="8" s="1"/>
  <c r="G68" i="8"/>
  <c r="I66" i="8"/>
  <c r="H65" i="8"/>
  <c r="H84" i="8" s="1"/>
  <c r="G64" i="8"/>
  <c r="K62" i="8"/>
  <c r="K76" i="8"/>
  <c r="M74" i="8"/>
  <c r="L73" i="8"/>
  <c r="L92" i="8" s="1"/>
  <c r="K72" i="8"/>
  <c r="M70" i="8"/>
  <c r="L69" i="8"/>
  <c r="L88" i="8" s="1"/>
  <c r="K68" i="8"/>
  <c r="M66" i="8"/>
  <c r="L65" i="8"/>
  <c r="L84" i="8" s="1"/>
  <c r="K64" i="8"/>
  <c r="E70" i="8"/>
  <c r="D69" i="8"/>
  <c r="D88" i="8" s="1"/>
  <c r="C68" i="8"/>
  <c r="E66" i="8"/>
  <c r="D65" i="8"/>
  <c r="D84" i="8" s="1"/>
  <c r="C64" i="8"/>
  <c r="G62" i="8"/>
  <c r="H74" i="8"/>
  <c r="H93" i="8" s="1"/>
  <c r="G73" i="8"/>
  <c r="I71" i="8"/>
  <c r="H70" i="8"/>
  <c r="H89" i="8" s="1"/>
  <c r="G69" i="8"/>
  <c r="I67" i="8"/>
  <c r="H66" i="8"/>
  <c r="H85" i="8" s="1"/>
  <c r="G65" i="8"/>
  <c r="I63" i="8"/>
  <c r="M62" i="8"/>
  <c r="M75" i="8"/>
  <c r="L74" i="8"/>
  <c r="L93" i="8" s="1"/>
  <c r="K73" i="8"/>
  <c r="M71" i="8"/>
  <c r="L70" i="8"/>
  <c r="L89" i="8" s="1"/>
  <c r="K69" i="8"/>
  <c r="M67" i="8"/>
  <c r="L66" i="8"/>
  <c r="L85" i="8" s="1"/>
  <c r="K65" i="8"/>
  <c r="M63" i="8"/>
  <c r="E71" i="8"/>
  <c r="D70" i="8"/>
  <c r="D89" i="8" s="1"/>
  <c r="E67" i="8"/>
  <c r="D66" i="8"/>
  <c r="D85" i="8" s="1"/>
  <c r="E63" i="8"/>
  <c r="I62" i="8"/>
  <c r="I72" i="8"/>
  <c r="H71" i="8"/>
  <c r="H90" i="8" s="1"/>
  <c r="I68" i="8"/>
  <c r="H67" i="8"/>
  <c r="H86" i="8" s="1"/>
  <c r="I64" i="8"/>
  <c r="H63" i="8"/>
  <c r="H82" i="8" s="1"/>
  <c r="M76" i="8"/>
  <c r="L75" i="8"/>
  <c r="L94" i="8" s="1"/>
  <c r="M72" i="8"/>
  <c r="L71" i="8"/>
  <c r="L90" i="8" s="1"/>
  <c r="M68" i="8"/>
  <c r="L67" i="8"/>
  <c r="L86" i="8" s="1"/>
  <c r="M64" i="8"/>
  <c r="L63" i="8"/>
  <c r="L82" i="8" s="1"/>
  <c r="B4" i="5"/>
  <c r="G4" i="5" s="1"/>
  <c r="P4" i="5" s="1"/>
  <c r="B3" i="5"/>
  <c r="H3" i="5" s="1"/>
  <c r="I3" i="5" l="1"/>
  <c r="R3" i="5" s="1"/>
  <c r="E3" i="5"/>
  <c r="N3" i="5" s="1"/>
  <c r="K3" i="5"/>
  <c r="T3" i="5" s="1"/>
  <c r="K4" i="5"/>
  <c r="T4" i="5" s="1"/>
  <c r="D4" i="5"/>
  <c r="M4" i="5" s="1"/>
  <c r="H4" i="5"/>
  <c r="Q4" i="5" s="1"/>
  <c r="E4" i="5"/>
  <c r="N4" i="5" s="1"/>
  <c r="I4" i="5"/>
  <c r="R4" i="5" s="1"/>
  <c r="J4" i="5"/>
  <c r="S4" i="5" s="1"/>
  <c r="F3" i="5"/>
  <c r="O3" i="5" s="1"/>
  <c r="J3" i="5"/>
  <c r="S3" i="5" s="1"/>
  <c r="G3" i="5"/>
  <c r="B302" i="13" s="1"/>
  <c r="A356" i="13" s="1"/>
  <c r="A357" i="13" s="1"/>
  <c r="F4" i="5"/>
  <c r="O4" i="5" s="1"/>
  <c r="D3" i="5"/>
  <c r="M3" i="5" s="1"/>
  <c r="Q3" i="5"/>
  <c r="B702" i="13"/>
  <c r="B502" i="13"/>
  <c r="B403" i="13"/>
  <c r="C456" i="13" s="1"/>
  <c r="B303" i="13"/>
  <c r="C356" i="13" s="1"/>
  <c r="B202" i="13"/>
  <c r="A275" i="13" s="1"/>
  <c r="B203" i="13"/>
  <c r="C256" i="13" s="1"/>
  <c r="B102" i="13"/>
  <c r="B2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B3" i="13"/>
  <c r="C56" i="13" s="1"/>
  <c r="D757" i="13"/>
  <c r="E757" i="13"/>
  <c r="F757" i="13"/>
  <c r="G757" i="13"/>
  <c r="H757" i="13"/>
  <c r="I757" i="13"/>
  <c r="J757" i="13"/>
  <c r="K757" i="13"/>
  <c r="L757" i="13"/>
  <c r="M757" i="13"/>
  <c r="N757" i="13"/>
  <c r="O757" i="13"/>
  <c r="D758" i="13"/>
  <c r="E758" i="13"/>
  <c r="F758" i="13"/>
  <c r="G758" i="13"/>
  <c r="H758" i="13"/>
  <c r="I758" i="13"/>
  <c r="J758" i="13"/>
  <c r="K758" i="13"/>
  <c r="L758" i="13"/>
  <c r="M758" i="13"/>
  <c r="N758" i="13"/>
  <c r="O758" i="13"/>
  <c r="D759" i="13"/>
  <c r="E759" i="13"/>
  <c r="F759" i="13"/>
  <c r="G759" i="13"/>
  <c r="H759" i="13"/>
  <c r="I759" i="13"/>
  <c r="J759" i="13"/>
  <c r="K759" i="13"/>
  <c r="L759" i="13"/>
  <c r="M759" i="13"/>
  <c r="N759" i="13"/>
  <c r="O759" i="13"/>
  <c r="D760" i="13"/>
  <c r="E760" i="13"/>
  <c r="F760" i="13"/>
  <c r="G760" i="13"/>
  <c r="H760" i="13"/>
  <c r="I760" i="13"/>
  <c r="J760" i="13"/>
  <c r="K760" i="13"/>
  <c r="L760" i="13"/>
  <c r="M760" i="13"/>
  <c r="N760" i="13"/>
  <c r="O760" i="13"/>
  <c r="D761" i="13"/>
  <c r="E761" i="13"/>
  <c r="F761" i="13"/>
  <c r="G761" i="13"/>
  <c r="H761" i="13"/>
  <c r="I761" i="13"/>
  <c r="J761" i="13"/>
  <c r="K761" i="13"/>
  <c r="L761" i="13"/>
  <c r="M761" i="13"/>
  <c r="N761" i="13"/>
  <c r="O761" i="13"/>
  <c r="D762" i="13"/>
  <c r="E762" i="13"/>
  <c r="F762" i="13"/>
  <c r="G762" i="13"/>
  <c r="H762" i="13"/>
  <c r="I762" i="13"/>
  <c r="J762" i="13"/>
  <c r="K762" i="13"/>
  <c r="L762" i="13"/>
  <c r="M762" i="13"/>
  <c r="N762" i="13"/>
  <c r="O762" i="13"/>
  <c r="D763" i="13"/>
  <c r="E763" i="13"/>
  <c r="F763" i="13"/>
  <c r="G763" i="13"/>
  <c r="H763" i="13"/>
  <c r="I763" i="13"/>
  <c r="J763" i="13"/>
  <c r="K763" i="13"/>
  <c r="L763" i="13"/>
  <c r="M763" i="13"/>
  <c r="N763" i="13"/>
  <c r="O763" i="13"/>
  <c r="D764" i="13"/>
  <c r="E764" i="13"/>
  <c r="F764" i="13"/>
  <c r="G764" i="13"/>
  <c r="H764" i="13"/>
  <c r="I764" i="13"/>
  <c r="J764" i="13"/>
  <c r="K764" i="13"/>
  <c r="L764" i="13"/>
  <c r="M764" i="13"/>
  <c r="N764" i="13"/>
  <c r="O764" i="13"/>
  <c r="D765" i="13"/>
  <c r="E765" i="13"/>
  <c r="F765" i="13"/>
  <c r="G765" i="13"/>
  <c r="H765" i="13"/>
  <c r="I765" i="13"/>
  <c r="J765" i="13"/>
  <c r="K765" i="13"/>
  <c r="L765" i="13"/>
  <c r="M765" i="13"/>
  <c r="N765" i="13"/>
  <c r="O765" i="13"/>
  <c r="D766" i="13"/>
  <c r="E766" i="13"/>
  <c r="F766" i="13"/>
  <c r="G766" i="13"/>
  <c r="H766" i="13"/>
  <c r="I766" i="13"/>
  <c r="J766" i="13"/>
  <c r="K766" i="13"/>
  <c r="L766" i="13"/>
  <c r="M766" i="13"/>
  <c r="N766" i="13"/>
  <c r="O766" i="13"/>
  <c r="D767" i="13"/>
  <c r="E767" i="13"/>
  <c r="F767" i="13"/>
  <c r="G767" i="13"/>
  <c r="H767" i="13"/>
  <c r="I767" i="13"/>
  <c r="J767" i="13"/>
  <c r="K767" i="13"/>
  <c r="L767" i="13"/>
  <c r="M767" i="13"/>
  <c r="N767" i="13"/>
  <c r="O767" i="13"/>
  <c r="D768" i="13"/>
  <c r="E768" i="13"/>
  <c r="F768" i="13"/>
  <c r="G768" i="13"/>
  <c r="H768" i="13"/>
  <c r="I768" i="13"/>
  <c r="J768" i="13"/>
  <c r="K768" i="13"/>
  <c r="L768" i="13"/>
  <c r="M768" i="13"/>
  <c r="N768" i="13"/>
  <c r="O768" i="13"/>
  <c r="D769" i="13"/>
  <c r="E769" i="13"/>
  <c r="F769" i="13"/>
  <c r="G769" i="13"/>
  <c r="H769" i="13"/>
  <c r="I769" i="13"/>
  <c r="J769" i="13"/>
  <c r="K769" i="13"/>
  <c r="L769" i="13"/>
  <c r="M769" i="13"/>
  <c r="N769" i="13"/>
  <c r="O769" i="13"/>
  <c r="D770" i="13"/>
  <c r="E770" i="13"/>
  <c r="F770" i="13"/>
  <c r="G770" i="13"/>
  <c r="H770" i="13"/>
  <c r="I770" i="13"/>
  <c r="J770" i="13"/>
  <c r="K770" i="13"/>
  <c r="L770" i="13"/>
  <c r="M770" i="13"/>
  <c r="N770" i="13"/>
  <c r="O770" i="13"/>
  <c r="E756" i="13"/>
  <c r="F756" i="13"/>
  <c r="G756" i="13"/>
  <c r="P756" i="13" s="1"/>
  <c r="H756" i="13"/>
  <c r="Q756" i="13" s="1"/>
  <c r="I756" i="13"/>
  <c r="J756" i="13"/>
  <c r="K756" i="13"/>
  <c r="L756" i="13"/>
  <c r="M756" i="13"/>
  <c r="N756" i="13"/>
  <c r="O756" i="13"/>
  <c r="D756" i="13"/>
  <c r="R756" i="13"/>
  <c r="D657" i="13"/>
  <c r="E657" i="13"/>
  <c r="F657" i="13"/>
  <c r="G657" i="13"/>
  <c r="H657" i="13"/>
  <c r="I657" i="13"/>
  <c r="J657" i="13"/>
  <c r="K657" i="13"/>
  <c r="L657" i="13"/>
  <c r="M657" i="13"/>
  <c r="N657" i="13"/>
  <c r="O657" i="13"/>
  <c r="D658" i="13"/>
  <c r="E658" i="13"/>
  <c r="F658" i="13"/>
  <c r="G658" i="13"/>
  <c r="H658" i="13"/>
  <c r="I658" i="13"/>
  <c r="J658" i="13"/>
  <c r="K658" i="13"/>
  <c r="L658" i="13"/>
  <c r="M658" i="13"/>
  <c r="N658" i="13"/>
  <c r="O658" i="13"/>
  <c r="D659" i="13"/>
  <c r="E659" i="13"/>
  <c r="F659" i="13"/>
  <c r="G659" i="13"/>
  <c r="H659" i="13"/>
  <c r="I659" i="13"/>
  <c r="J659" i="13"/>
  <c r="K659" i="13"/>
  <c r="L659" i="13"/>
  <c r="M659" i="13"/>
  <c r="N659" i="13"/>
  <c r="O659" i="13"/>
  <c r="D660" i="13"/>
  <c r="E660" i="13"/>
  <c r="F660" i="13"/>
  <c r="G660" i="13"/>
  <c r="H660" i="13"/>
  <c r="I660" i="13"/>
  <c r="J660" i="13"/>
  <c r="K660" i="13"/>
  <c r="L660" i="13"/>
  <c r="M660" i="13"/>
  <c r="N660" i="13"/>
  <c r="O660" i="13"/>
  <c r="D661" i="13"/>
  <c r="E661" i="13"/>
  <c r="F661" i="13"/>
  <c r="G661" i="13"/>
  <c r="H661" i="13"/>
  <c r="I661" i="13"/>
  <c r="J661" i="13"/>
  <c r="K661" i="13"/>
  <c r="L661" i="13"/>
  <c r="M661" i="13"/>
  <c r="N661" i="13"/>
  <c r="O661" i="13"/>
  <c r="D662" i="13"/>
  <c r="E662" i="13"/>
  <c r="F662" i="13"/>
  <c r="G662" i="13"/>
  <c r="H662" i="13"/>
  <c r="I662" i="13"/>
  <c r="J662" i="13"/>
  <c r="K662" i="13"/>
  <c r="L662" i="13"/>
  <c r="M662" i="13"/>
  <c r="N662" i="13"/>
  <c r="O662" i="13"/>
  <c r="D663" i="13"/>
  <c r="E663" i="13"/>
  <c r="F663" i="13"/>
  <c r="G663" i="13"/>
  <c r="H663" i="13"/>
  <c r="I663" i="13"/>
  <c r="J663" i="13"/>
  <c r="K663" i="13"/>
  <c r="L663" i="13"/>
  <c r="M663" i="13"/>
  <c r="N663" i="13"/>
  <c r="O663" i="13"/>
  <c r="D664" i="13"/>
  <c r="E664" i="13"/>
  <c r="F664" i="13"/>
  <c r="G664" i="13"/>
  <c r="H664" i="13"/>
  <c r="I664" i="13"/>
  <c r="J664" i="13"/>
  <c r="K664" i="13"/>
  <c r="L664" i="13"/>
  <c r="M664" i="13"/>
  <c r="N664" i="13"/>
  <c r="O664" i="13"/>
  <c r="D665" i="13"/>
  <c r="E665" i="13"/>
  <c r="F665" i="13"/>
  <c r="G665" i="13"/>
  <c r="H665" i="13"/>
  <c r="I665" i="13"/>
  <c r="J665" i="13"/>
  <c r="K665" i="13"/>
  <c r="L665" i="13"/>
  <c r="M665" i="13"/>
  <c r="N665" i="13"/>
  <c r="O665" i="13"/>
  <c r="D666" i="13"/>
  <c r="E666" i="13"/>
  <c r="F666" i="13"/>
  <c r="G666" i="13"/>
  <c r="H666" i="13"/>
  <c r="I666" i="13"/>
  <c r="J666" i="13"/>
  <c r="K666" i="13"/>
  <c r="L666" i="13"/>
  <c r="M666" i="13"/>
  <c r="N666" i="13"/>
  <c r="O666" i="13"/>
  <c r="D667" i="13"/>
  <c r="E667" i="13"/>
  <c r="F667" i="13"/>
  <c r="G667" i="13"/>
  <c r="H667" i="13"/>
  <c r="I667" i="13"/>
  <c r="J667" i="13"/>
  <c r="K667" i="13"/>
  <c r="L667" i="13"/>
  <c r="M667" i="13"/>
  <c r="N667" i="13"/>
  <c r="O667" i="13"/>
  <c r="D668" i="13"/>
  <c r="E668" i="13"/>
  <c r="F668" i="13"/>
  <c r="G668" i="13"/>
  <c r="H668" i="13"/>
  <c r="I668" i="13"/>
  <c r="J668" i="13"/>
  <c r="K668" i="13"/>
  <c r="L668" i="13"/>
  <c r="M668" i="13"/>
  <c r="N668" i="13"/>
  <c r="O668" i="13"/>
  <c r="D669" i="13"/>
  <c r="E669" i="13"/>
  <c r="F669" i="13"/>
  <c r="G669" i="13"/>
  <c r="H669" i="13"/>
  <c r="I669" i="13"/>
  <c r="J669" i="13"/>
  <c r="K669" i="13"/>
  <c r="L669" i="13"/>
  <c r="M669" i="13"/>
  <c r="N669" i="13"/>
  <c r="O669" i="13"/>
  <c r="D670" i="13"/>
  <c r="E670" i="13"/>
  <c r="F670" i="13"/>
  <c r="G670" i="13"/>
  <c r="H670" i="13"/>
  <c r="I670" i="13"/>
  <c r="J670" i="13"/>
  <c r="K670" i="13"/>
  <c r="L670" i="13"/>
  <c r="M670" i="13"/>
  <c r="N670" i="13"/>
  <c r="O670" i="13"/>
  <c r="E656" i="13"/>
  <c r="F656" i="13"/>
  <c r="G656" i="13"/>
  <c r="P656" i="13" s="1"/>
  <c r="H656" i="13"/>
  <c r="Q656" i="13" s="1"/>
  <c r="I656" i="13"/>
  <c r="J656" i="13"/>
  <c r="K656" i="13"/>
  <c r="L656" i="13"/>
  <c r="M656" i="13"/>
  <c r="N656" i="13"/>
  <c r="O656" i="13"/>
  <c r="D656" i="13"/>
  <c r="R656" i="13"/>
  <c r="D557" i="13"/>
  <c r="E557" i="13"/>
  <c r="F557" i="13"/>
  <c r="G557" i="13"/>
  <c r="H557" i="13"/>
  <c r="I557" i="13"/>
  <c r="J557" i="13"/>
  <c r="K557" i="13"/>
  <c r="L557" i="13"/>
  <c r="M557" i="13"/>
  <c r="N557" i="13"/>
  <c r="O557" i="13"/>
  <c r="D558" i="13"/>
  <c r="E558" i="13"/>
  <c r="F558" i="13"/>
  <c r="G558" i="13"/>
  <c r="H558" i="13"/>
  <c r="I558" i="13"/>
  <c r="J558" i="13"/>
  <c r="K558" i="13"/>
  <c r="L558" i="13"/>
  <c r="M558" i="13"/>
  <c r="N558" i="13"/>
  <c r="O558" i="13"/>
  <c r="D559" i="13"/>
  <c r="E559" i="13"/>
  <c r="F559" i="13"/>
  <c r="G559" i="13"/>
  <c r="H559" i="13"/>
  <c r="I559" i="13"/>
  <c r="J559" i="13"/>
  <c r="K559" i="13"/>
  <c r="L559" i="13"/>
  <c r="M559" i="13"/>
  <c r="N559" i="13"/>
  <c r="O559" i="13"/>
  <c r="D560" i="13"/>
  <c r="E560" i="13"/>
  <c r="F560" i="13"/>
  <c r="G560" i="13"/>
  <c r="H560" i="13"/>
  <c r="I560" i="13"/>
  <c r="J560" i="13"/>
  <c r="K560" i="13"/>
  <c r="L560" i="13"/>
  <c r="M560" i="13"/>
  <c r="N560" i="13"/>
  <c r="O560" i="13"/>
  <c r="D561" i="13"/>
  <c r="E561" i="13"/>
  <c r="F561" i="13"/>
  <c r="G561" i="13"/>
  <c r="H561" i="13"/>
  <c r="I561" i="13"/>
  <c r="J561" i="13"/>
  <c r="K561" i="13"/>
  <c r="L561" i="13"/>
  <c r="M561" i="13"/>
  <c r="N561" i="13"/>
  <c r="O561" i="13"/>
  <c r="D562" i="13"/>
  <c r="E562" i="13"/>
  <c r="F562" i="13"/>
  <c r="G562" i="13"/>
  <c r="H562" i="13"/>
  <c r="I562" i="13"/>
  <c r="J562" i="13"/>
  <c r="K562" i="13"/>
  <c r="L562" i="13"/>
  <c r="M562" i="13"/>
  <c r="N562" i="13"/>
  <c r="O562" i="13"/>
  <c r="D563" i="13"/>
  <c r="E563" i="13"/>
  <c r="F563" i="13"/>
  <c r="G563" i="13"/>
  <c r="H563" i="13"/>
  <c r="I563" i="13"/>
  <c r="J563" i="13"/>
  <c r="K563" i="13"/>
  <c r="L563" i="13"/>
  <c r="M563" i="13"/>
  <c r="N563" i="13"/>
  <c r="O563" i="13"/>
  <c r="D564" i="13"/>
  <c r="E564" i="13"/>
  <c r="F564" i="13"/>
  <c r="G564" i="13"/>
  <c r="H564" i="13"/>
  <c r="I564" i="13"/>
  <c r="J564" i="13"/>
  <c r="K564" i="13"/>
  <c r="L564" i="13"/>
  <c r="M564" i="13"/>
  <c r="N564" i="13"/>
  <c r="O564" i="13"/>
  <c r="D565" i="13"/>
  <c r="E565" i="13"/>
  <c r="F565" i="13"/>
  <c r="G565" i="13"/>
  <c r="H565" i="13"/>
  <c r="I565" i="13"/>
  <c r="J565" i="13"/>
  <c r="K565" i="13"/>
  <c r="L565" i="13"/>
  <c r="M565" i="13"/>
  <c r="N565" i="13"/>
  <c r="O565" i="13"/>
  <c r="D566" i="13"/>
  <c r="E566" i="13"/>
  <c r="F566" i="13"/>
  <c r="G566" i="13"/>
  <c r="H566" i="13"/>
  <c r="I566" i="13"/>
  <c r="J566" i="13"/>
  <c r="K566" i="13"/>
  <c r="L566" i="13"/>
  <c r="M566" i="13"/>
  <c r="N566" i="13"/>
  <c r="O566" i="13"/>
  <c r="D567" i="13"/>
  <c r="E567" i="13"/>
  <c r="F567" i="13"/>
  <c r="G567" i="13"/>
  <c r="H567" i="13"/>
  <c r="I567" i="13"/>
  <c r="J567" i="13"/>
  <c r="K567" i="13"/>
  <c r="L567" i="13"/>
  <c r="M567" i="13"/>
  <c r="N567" i="13"/>
  <c r="O567" i="13"/>
  <c r="D568" i="13"/>
  <c r="E568" i="13"/>
  <c r="F568" i="13"/>
  <c r="G568" i="13"/>
  <c r="H568" i="13"/>
  <c r="I568" i="13"/>
  <c r="J568" i="13"/>
  <c r="K568" i="13"/>
  <c r="L568" i="13"/>
  <c r="M568" i="13"/>
  <c r="N568" i="13"/>
  <c r="O568" i="13"/>
  <c r="D569" i="13"/>
  <c r="E569" i="13"/>
  <c r="F569" i="13"/>
  <c r="G569" i="13"/>
  <c r="H569" i="13"/>
  <c r="I569" i="13"/>
  <c r="J569" i="13"/>
  <c r="K569" i="13"/>
  <c r="L569" i="13"/>
  <c r="M569" i="13"/>
  <c r="N569" i="13"/>
  <c r="O569" i="13"/>
  <c r="D570" i="13"/>
  <c r="E570" i="13"/>
  <c r="F570" i="13"/>
  <c r="G570" i="13"/>
  <c r="H570" i="13"/>
  <c r="I570" i="13"/>
  <c r="J570" i="13"/>
  <c r="K570" i="13"/>
  <c r="L570" i="13"/>
  <c r="M570" i="13"/>
  <c r="N570" i="13"/>
  <c r="O570" i="13"/>
  <c r="E556" i="13"/>
  <c r="F556" i="13"/>
  <c r="G556" i="13"/>
  <c r="P556" i="13" s="1"/>
  <c r="H556" i="13"/>
  <c r="Q556" i="13" s="1"/>
  <c r="I556" i="13"/>
  <c r="R556" i="13" s="1"/>
  <c r="J556" i="13"/>
  <c r="K556" i="13"/>
  <c r="L556" i="13"/>
  <c r="M556" i="13"/>
  <c r="N556" i="13"/>
  <c r="O556" i="13"/>
  <c r="D556" i="13"/>
  <c r="D457" i="13"/>
  <c r="E457" i="13"/>
  <c r="F457" i="13"/>
  <c r="G457" i="13"/>
  <c r="H457" i="13"/>
  <c r="I457" i="13"/>
  <c r="J457" i="13"/>
  <c r="K457" i="13"/>
  <c r="L457" i="13"/>
  <c r="M457" i="13"/>
  <c r="N457" i="13"/>
  <c r="O457" i="13"/>
  <c r="D458" i="13"/>
  <c r="E458" i="13"/>
  <c r="F458" i="13"/>
  <c r="G458" i="13"/>
  <c r="H458" i="13"/>
  <c r="I458" i="13"/>
  <c r="J458" i="13"/>
  <c r="K458" i="13"/>
  <c r="L458" i="13"/>
  <c r="M458" i="13"/>
  <c r="N458" i="13"/>
  <c r="O458" i="13"/>
  <c r="D459" i="13"/>
  <c r="E459" i="13"/>
  <c r="F459" i="13"/>
  <c r="G459" i="13"/>
  <c r="H459" i="13"/>
  <c r="I459" i="13"/>
  <c r="J459" i="13"/>
  <c r="K459" i="13"/>
  <c r="L459" i="13"/>
  <c r="M459" i="13"/>
  <c r="N459" i="13"/>
  <c r="O459" i="13"/>
  <c r="D460" i="13"/>
  <c r="E460" i="13"/>
  <c r="F460" i="13"/>
  <c r="G460" i="13"/>
  <c r="H460" i="13"/>
  <c r="I460" i="13"/>
  <c r="J460" i="13"/>
  <c r="K460" i="13"/>
  <c r="L460" i="13"/>
  <c r="M460" i="13"/>
  <c r="N460" i="13"/>
  <c r="O460" i="13"/>
  <c r="D461" i="13"/>
  <c r="E461" i="13"/>
  <c r="F461" i="13"/>
  <c r="G461" i="13"/>
  <c r="H461" i="13"/>
  <c r="I461" i="13"/>
  <c r="J461" i="13"/>
  <c r="K461" i="13"/>
  <c r="L461" i="13"/>
  <c r="M461" i="13"/>
  <c r="N461" i="13"/>
  <c r="O461" i="13"/>
  <c r="D462" i="13"/>
  <c r="E462" i="13"/>
  <c r="F462" i="13"/>
  <c r="G462" i="13"/>
  <c r="H462" i="13"/>
  <c r="I462" i="13"/>
  <c r="J462" i="13"/>
  <c r="K462" i="13"/>
  <c r="L462" i="13"/>
  <c r="M462" i="13"/>
  <c r="N462" i="13"/>
  <c r="O462" i="13"/>
  <c r="D463" i="13"/>
  <c r="E463" i="13"/>
  <c r="F463" i="13"/>
  <c r="G463" i="13"/>
  <c r="H463" i="13"/>
  <c r="I463" i="13"/>
  <c r="J463" i="13"/>
  <c r="K463" i="13"/>
  <c r="L463" i="13"/>
  <c r="M463" i="13"/>
  <c r="N463" i="13"/>
  <c r="O463" i="13"/>
  <c r="D464" i="13"/>
  <c r="E464" i="13"/>
  <c r="F464" i="13"/>
  <c r="G464" i="13"/>
  <c r="H464" i="13"/>
  <c r="I464" i="13"/>
  <c r="J464" i="13"/>
  <c r="K464" i="13"/>
  <c r="L464" i="13"/>
  <c r="M464" i="13"/>
  <c r="N464" i="13"/>
  <c r="O464" i="13"/>
  <c r="D465" i="13"/>
  <c r="E465" i="13"/>
  <c r="F465" i="13"/>
  <c r="G465" i="13"/>
  <c r="H465" i="13"/>
  <c r="I465" i="13"/>
  <c r="J465" i="13"/>
  <c r="K465" i="13"/>
  <c r="L465" i="13"/>
  <c r="M465" i="13"/>
  <c r="N465" i="13"/>
  <c r="O465" i="13"/>
  <c r="D466" i="13"/>
  <c r="E466" i="13"/>
  <c r="F466" i="13"/>
  <c r="G466" i="13"/>
  <c r="H466" i="13"/>
  <c r="I466" i="13"/>
  <c r="J466" i="13"/>
  <c r="K466" i="13"/>
  <c r="L466" i="13"/>
  <c r="M466" i="13"/>
  <c r="N466" i="13"/>
  <c r="O466" i="13"/>
  <c r="D467" i="13"/>
  <c r="E467" i="13"/>
  <c r="F467" i="13"/>
  <c r="G467" i="13"/>
  <c r="H467" i="13"/>
  <c r="I467" i="13"/>
  <c r="J467" i="13"/>
  <c r="K467" i="13"/>
  <c r="L467" i="13"/>
  <c r="M467" i="13"/>
  <c r="N467" i="13"/>
  <c r="O467" i="13"/>
  <c r="D468" i="13"/>
  <c r="E468" i="13"/>
  <c r="F468" i="13"/>
  <c r="G468" i="13"/>
  <c r="H468" i="13"/>
  <c r="I468" i="13"/>
  <c r="J468" i="13"/>
  <c r="K468" i="13"/>
  <c r="L468" i="13"/>
  <c r="M468" i="13"/>
  <c r="N468" i="13"/>
  <c r="O468" i="13"/>
  <c r="D469" i="13"/>
  <c r="E469" i="13"/>
  <c r="F469" i="13"/>
  <c r="G469" i="13"/>
  <c r="H469" i="13"/>
  <c r="I469" i="13"/>
  <c r="J469" i="13"/>
  <c r="K469" i="13"/>
  <c r="L469" i="13"/>
  <c r="M469" i="13"/>
  <c r="N469" i="13"/>
  <c r="O469" i="13"/>
  <c r="D470" i="13"/>
  <c r="E470" i="13"/>
  <c r="F470" i="13"/>
  <c r="G470" i="13"/>
  <c r="H470" i="13"/>
  <c r="I470" i="13"/>
  <c r="J470" i="13"/>
  <c r="K470" i="13"/>
  <c r="L470" i="13"/>
  <c r="M470" i="13"/>
  <c r="N470" i="13"/>
  <c r="O470" i="13"/>
  <c r="E456" i="13"/>
  <c r="F456" i="13"/>
  <c r="G456" i="13"/>
  <c r="P456" i="13" s="1"/>
  <c r="H456" i="13"/>
  <c r="Q456" i="13" s="1"/>
  <c r="I456" i="13"/>
  <c r="R456" i="13" s="1"/>
  <c r="J456" i="13"/>
  <c r="K456" i="13"/>
  <c r="L456" i="13"/>
  <c r="M456" i="13"/>
  <c r="N456" i="13"/>
  <c r="O456" i="13"/>
  <c r="D456" i="13"/>
  <c r="D357" i="13"/>
  <c r="E357" i="13"/>
  <c r="F357" i="13"/>
  <c r="G357" i="13"/>
  <c r="H357" i="13"/>
  <c r="I357" i="13"/>
  <c r="J357" i="13"/>
  <c r="K357" i="13"/>
  <c r="L357" i="13"/>
  <c r="M357" i="13"/>
  <c r="N357" i="13"/>
  <c r="O357" i="13"/>
  <c r="D358" i="13"/>
  <c r="E358" i="13"/>
  <c r="F358" i="13"/>
  <c r="G358" i="13"/>
  <c r="H358" i="13"/>
  <c r="I358" i="13"/>
  <c r="J358" i="13"/>
  <c r="K358" i="13"/>
  <c r="L358" i="13"/>
  <c r="M358" i="13"/>
  <c r="N358" i="13"/>
  <c r="O358" i="13"/>
  <c r="D359" i="13"/>
  <c r="E359" i="13"/>
  <c r="F359" i="13"/>
  <c r="G359" i="13"/>
  <c r="H359" i="13"/>
  <c r="I359" i="13"/>
  <c r="J359" i="13"/>
  <c r="K359" i="13"/>
  <c r="L359" i="13"/>
  <c r="M359" i="13"/>
  <c r="N359" i="13"/>
  <c r="O359" i="13"/>
  <c r="D360" i="13"/>
  <c r="E360" i="13"/>
  <c r="F360" i="13"/>
  <c r="G360" i="13"/>
  <c r="H360" i="13"/>
  <c r="I360" i="13"/>
  <c r="J360" i="13"/>
  <c r="K360" i="13"/>
  <c r="L360" i="13"/>
  <c r="M360" i="13"/>
  <c r="N360" i="13"/>
  <c r="O360" i="13"/>
  <c r="D361" i="13"/>
  <c r="E361" i="13"/>
  <c r="F361" i="13"/>
  <c r="G361" i="13"/>
  <c r="H361" i="13"/>
  <c r="I361" i="13"/>
  <c r="J361" i="13"/>
  <c r="K361" i="13"/>
  <c r="L361" i="13"/>
  <c r="M361" i="13"/>
  <c r="N361" i="13"/>
  <c r="O361" i="13"/>
  <c r="D362" i="13"/>
  <c r="E362" i="13"/>
  <c r="F362" i="13"/>
  <c r="G362" i="13"/>
  <c r="H362" i="13"/>
  <c r="I362" i="13"/>
  <c r="J362" i="13"/>
  <c r="K362" i="13"/>
  <c r="L362" i="13"/>
  <c r="M362" i="13"/>
  <c r="N362" i="13"/>
  <c r="O362" i="13"/>
  <c r="D363" i="13"/>
  <c r="E363" i="13"/>
  <c r="F363" i="13"/>
  <c r="G363" i="13"/>
  <c r="H363" i="13"/>
  <c r="I363" i="13"/>
  <c r="J363" i="13"/>
  <c r="K363" i="13"/>
  <c r="L363" i="13"/>
  <c r="M363" i="13"/>
  <c r="N363" i="13"/>
  <c r="O363" i="13"/>
  <c r="D364" i="13"/>
  <c r="E364" i="13"/>
  <c r="F364" i="13"/>
  <c r="G364" i="13"/>
  <c r="H364" i="13"/>
  <c r="I364" i="13"/>
  <c r="J364" i="13"/>
  <c r="K364" i="13"/>
  <c r="L364" i="13"/>
  <c r="M364" i="13"/>
  <c r="N364" i="13"/>
  <c r="O364" i="13"/>
  <c r="D365" i="13"/>
  <c r="E365" i="13"/>
  <c r="F365" i="13"/>
  <c r="G365" i="13"/>
  <c r="H365" i="13"/>
  <c r="I365" i="13"/>
  <c r="J365" i="13"/>
  <c r="K365" i="13"/>
  <c r="L365" i="13"/>
  <c r="M365" i="13"/>
  <c r="N365" i="13"/>
  <c r="O365" i="13"/>
  <c r="D366" i="13"/>
  <c r="E366" i="13"/>
  <c r="F366" i="13"/>
  <c r="G366" i="13"/>
  <c r="H366" i="13"/>
  <c r="I366" i="13"/>
  <c r="J366" i="13"/>
  <c r="K366" i="13"/>
  <c r="L366" i="13"/>
  <c r="M366" i="13"/>
  <c r="N366" i="13"/>
  <c r="O366" i="13"/>
  <c r="D367" i="13"/>
  <c r="E367" i="13"/>
  <c r="F367" i="13"/>
  <c r="G367" i="13"/>
  <c r="H367" i="13"/>
  <c r="I367" i="13"/>
  <c r="J367" i="13"/>
  <c r="K367" i="13"/>
  <c r="L367" i="13"/>
  <c r="M367" i="13"/>
  <c r="N367" i="13"/>
  <c r="O367" i="13"/>
  <c r="D368" i="13"/>
  <c r="E368" i="13"/>
  <c r="F368" i="13"/>
  <c r="G368" i="13"/>
  <c r="H368" i="13"/>
  <c r="I368" i="13"/>
  <c r="J368" i="13"/>
  <c r="K368" i="13"/>
  <c r="L368" i="13"/>
  <c r="M368" i="13"/>
  <c r="N368" i="13"/>
  <c r="O368" i="13"/>
  <c r="D369" i="13"/>
  <c r="E369" i="13"/>
  <c r="F369" i="13"/>
  <c r="G369" i="13"/>
  <c r="H369" i="13"/>
  <c r="I369" i="13"/>
  <c r="J369" i="13"/>
  <c r="K369" i="13"/>
  <c r="L369" i="13"/>
  <c r="M369" i="13"/>
  <c r="N369" i="13"/>
  <c r="O369" i="13"/>
  <c r="D370" i="13"/>
  <c r="E370" i="13"/>
  <c r="F370" i="13"/>
  <c r="G370" i="13"/>
  <c r="H370" i="13"/>
  <c r="I370" i="13"/>
  <c r="J370" i="13"/>
  <c r="K370" i="13"/>
  <c r="L370" i="13"/>
  <c r="M370" i="13"/>
  <c r="N370" i="13"/>
  <c r="O370" i="13"/>
  <c r="O356" i="13"/>
  <c r="N356" i="13"/>
  <c r="M356" i="13"/>
  <c r="L356" i="13"/>
  <c r="K356" i="13"/>
  <c r="J356" i="13"/>
  <c r="I356" i="13"/>
  <c r="R356" i="13" s="1"/>
  <c r="H356" i="13"/>
  <c r="Q356" i="13" s="1"/>
  <c r="G356" i="13"/>
  <c r="F356" i="13"/>
  <c r="E356" i="13"/>
  <c r="D356" i="13"/>
  <c r="P356" i="13"/>
  <c r="D157" i="13"/>
  <c r="E157" i="13"/>
  <c r="F157" i="13"/>
  <c r="G157" i="13"/>
  <c r="H157" i="13"/>
  <c r="I157" i="13"/>
  <c r="J157" i="13"/>
  <c r="K157" i="13"/>
  <c r="L157" i="13"/>
  <c r="M157" i="13"/>
  <c r="N157" i="13"/>
  <c r="O157" i="13"/>
  <c r="D158" i="13"/>
  <c r="E158" i="13"/>
  <c r="F158" i="13"/>
  <c r="G158" i="13"/>
  <c r="H158" i="13"/>
  <c r="I158" i="13"/>
  <c r="J158" i="13"/>
  <c r="K158" i="13"/>
  <c r="L158" i="13"/>
  <c r="M158" i="13"/>
  <c r="N158" i="13"/>
  <c r="O158" i="13"/>
  <c r="D159" i="13"/>
  <c r="E159" i="13"/>
  <c r="F159" i="13"/>
  <c r="G159" i="13"/>
  <c r="H159" i="13"/>
  <c r="I159" i="13"/>
  <c r="J159" i="13"/>
  <c r="K159" i="13"/>
  <c r="L159" i="13"/>
  <c r="M159" i="13"/>
  <c r="N159" i="13"/>
  <c r="O159" i="13"/>
  <c r="D160" i="13"/>
  <c r="E160" i="13"/>
  <c r="F160" i="13"/>
  <c r="G160" i="13"/>
  <c r="H160" i="13"/>
  <c r="I160" i="13"/>
  <c r="J160" i="13"/>
  <c r="K160" i="13"/>
  <c r="L160" i="13"/>
  <c r="M160" i="13"/>
  <c r="N160" i="13"/>
  <c r="O160" i="13"/>
  <c r="D161" i="13"/>
  <c r="E161" i="13"/>
  <c r="F161" i="13"/>
  <c r="G161" i="13"/>
  <c r="H161" i="13"/>
  <c r="I161" i="13"/>
  <c r="J161" i="13"/>
  <c r="K161" i="13"/>
  <c r="L161" i="13"/>
  <c r="M161" i="13"/>
  <c r="N161" i="13"/>
  <c r="O161" i="13"/>
  <c r="D162" i="13"/>
  <c r="E162" i="13"/>
  <c r="F162" i="13"/>
  <c r="G162" i="13"/>
  <c r="H162" i="13"/>
  <c r="I162" i="13"/>
  <c r="J162" i="13"/>
  <c r="K162" i="13"/>
  <c r="L162" i="13"/>
  <c r="M162" i="13"/>
  <c r="N162" i="13"/>
  <c r="O162" i="13"/>
  <c r="D163" i="13"/>
  <c r="E163" i="13"/>
  <c r="F163" i="13"/>
  <c r="G163" i="13"/>
  <c r="H163" i="13"/>
  <c r="I163" i="13"/>
  <c r="J163" i="13"/>
  <c r="K163" i="13"/>
  <c r="L163" i="13"/>
  <c r="M163" i="13"/>
  <c r="N163" i="13"/>
  <c r="O163" i="13"/>
  <c r="D164" i="13"/>
  <c r="E164" i="13"/>
  <c r="F164" i="13"/>
  <c r="G164" i="13"/>
  <c r="H164" i="13"/>
  <c r="I164" i="13"/>
  <c r="J164" i="13"/>
  <c r="K164" i="13"/>
  <c r="L164" i="13"/>
  <c r="M164" i="13"/>
  <c r="N164" i="13"/>
  <c r="O164" i="13"/>
  <c r="D165" i="13"/>
  <c r="E165" i="13"/>
  <c r="F165" i="13"/>
  <c r="G165" i="13"/>
  <c r="H165" i="13"/>
  <c r="I165" i="13"/>
  <c r="J165" i="13"/>
  <c r="K165" i="13"/>
  <c r="L165" i="13"/>
  <c r="M165" i="13"/>
  <c r="N165" i="13"/>
  <c r="O165" i="13"/>
  <c r="D166" i="13"/>
  <c r="E166" i="13"/>
  <c r="F166" i="13"/>
  <c r="G166" i="13"/>
  <c r="H166" i="13"/>
  <c r="I166" i="13"/>
  <c r="J166" i="13"/>
  <c r="K166" i="13"/>
  <c r="L166" i="13"/>
  <c r="M166" i="13"/>
  <c r="N166" i="13"/>
  <c r="O166" i="13"/>
  <c r="D167" i="13"/>
  <c r="E167" i="13"/>
  <c r="F167" i="13"/>
  <c r="G167" i="13"/>
  <c r="H167" i="13"/>
  <c r="I167" i="13"/>
  <c r="J167" i="13"/>
  <c r="K167" i="13"/>
  <c r="L167" i="13"/>
  <c r="M167" i="13"/>
  <c r="N167" i="13"/>
  <c r="O167" i="13"/>
  <c r="D168" i="13"/>
  <c r="E168" i="13"/>
  <c r="F168" i="13"/>
  <c r="G168" i="13"/>
  <c r="H168" i="13"/>
  <c r="I168" i="13"/>
  <c r="J168" i="13"/>
  <c r="K168" i="13"/>
  <c r="L168" i="13"/>
  <c r="M168" i="13"/>
  <c r="N168" i="13"/>
  <c r="O168" i="13"/>
  <c r="D169" i="13"/>
  <c r="E169" i="13"/>
  <c r="F169" i="13"/>
  <c r="G169" i="13"/>
  <c r="H169" i="13"/>
  <c r="I169" i="13"/>
  <c r="J169" i="13"/>
  <c r="K169" i="13"/>
  <c r="L169" i="13"/>
  <c r="M169" i="13"/>
  <c r="N169" i="13"/>
  <c r="O169" i="13"/>
  <c r="D170" i="13"/>
  <c r="E170" i="13"/>
  <c r="F170" i="13"/>
  <c r="G170" i="13"/>
  <c r="H170" i="13"/>
  <c r="I170" i="13"/>
  <c r="J170" i="13"/>
  <c r="K170" i="13"/>
  <c r="L170" i="13"/>
  <c r="M170" i="13"/>
  <c r="N170" i="13"/>
  <c r="O170" i="13"/>
  <c r="O156" i="13"/>
  <c r="N156" i="13"/>
  <c r="M156" i="13"/>
  <c r="L156" i="13"/>
  <c r="K156" i="13"/>
  <c r="J156" i="13"/>
  <c r="I156" i="13"/>
  <c r="R156" i="13" s="1"/>
  <c r="H156" i="13"/>
  <c r="Q156" i="13" s="1"/>
  <c r="G156" i="13"/>
  <c r="P156" i="13" s="1"/>
  <c r="F156" i="13"/>
  <c r="E156" i="13"/>
  <c r="D56" i="13"/>
  <c r="D156" i="13"/>
  <c r="P3" i="5" l="1"/>
  <c r="B703" i="13"/>
  <c r="C756" i="13" s="1"/>
  <c r="B503" i="13"/>
  <c r="C556" i="13" s="1"/>
  <c r="B603" i="13"/>
  <c r="C656" i="13" s="1"/>
  <c r="B103" i="13"/>
  <c r="C156" i="13" s="1"/>
  <c r="B402" i="13"/>
  <c r="A456" i="13" s="1"/>
  <c r="B602" i="13"/>
  <c r="A656" i="13" s="1"/>
  <c r="A657" i="13" s="1"/>
  <c r="Q657" i="13"/>
  <c r="R757" i="13"/>
  <c r="R457" i="13"/>
  <c r="R458" i="13" s="1"/>
  <c r="R459" i="13" s="1"/>
  <c r="R460" i="13" s="1"/>
  <c r="R461" i="13" s="1"/>
  <c r="R462" i="13" s="1"/>
  <c r="R463" i="13" s="1"/>
  <c r="R464" i="13" s="1"/>
  <c r="R465" i="13" s="1"/>
  <c r="R466" i="13" s="1"/>
  <c r="R467" i="13" s="1"/>
  <c r="R468" i="13" s="1"/>
  <c r="R469" i="13" s="1"/>
  <c r="R470" i="13" s="1"/>
  <c r="R557" i="13"/>
  <c r="R558" i="13" s="1"/>
  <c r="R559" i="13" s="1"/>
  <c r="R560" i="13" s="1"/>
  <c r="R561" i="13" s="1"/>
  <c r="R562" i="13" s="1"/>
  <c r="R563" i="13" s="1"/>
  <c r="R564" i="13" s="1"/>
  <c r="R565" i="13" s="1"/>
  <c r="R566" i="13" s="1"/>
  <c r="R567" i="13" s="1"/>
  <c r="R568" i="13" s="1"/>
  <c r="R569" i="13" s="1"/>
  <c r="R570" i="13" s="1"/>
  <c r="Q457" i="13"/>
  <c r="Q458" i="13" s="1"/>
  <c r="Q459" i="13" s="1"/>
  <c r="Q460" i="13" s="1"/>
  <c r="Q461" i="13" s="1"/>
  <c r="Q462" i="13" s="1"/>
  <c r="Q463" i="13" s="1"/>
  <c r="Q464" i="13" s="1"/>
  <c r="Q465" i="13" s="1"/>
  <c r="Q466" i="13" s="1"/>
  <c r="Q467" i="13" s="1"/>
  <c r="Q468" i="13" s="1"/>
  <c r="Q469" i="13" s="1"/>
  <c r="Q470" i="13" s="1"/>
  <c r="Q557" i="13"/>
  <c r="Q558" i="13" s="1"/>
  <c r="Q559" i="13" s="1"/>
  <c r="Q560" i="13" s="1"/>
  <c r="Q561" i="13" s="1"/>
  <c r="Q562" i="13" s="1"/>
  <c r="Q563" i="13" s="1"/>
  <c r="Q564" i="13" s="1"/>
  <c r="Q565" i="13" s="1"/>
  <c r="Q566" i="13" s="1"/>
  <c r="Q567" i="13" s="1"/>
  <c r="Q568" i="13" s="1"/>
  <c r="Q569" i="13" s="1"/>
  <c r="Q570" i="13" s="1"/>
  <c r="H487" i="13"/>
  <c r="I487" i="13" s="1"/>
  <c r="P457" i="13"/>
  <c r="P458" i="13" s="1"/>
  <c r="P459" i="13" s="1"/>
  <c r="P460" i="13" s="1"/>
  <c r="P461" i="13" s="1"/>
  <c r="P462" i="13" s="1"/>
  <c r="P463" i="13" s="1"/>
  <c r="P464" i="13" s="1"/>
  <c r="P465" i="13" s="1"/>
  <c r="P466" i="13" s="1"/>
  <c r="P467" i="13" s="1"/>
  <c r="P468" i="13" s="1"/>
  <c r="P469" i="13" s="1"/>
  <c r="P470" i="13" s="1"/>
  <c r="P157" i="13"/>
  <c r="P158" i="13" s="1"/>
  <c r="P159" i="13" s="1"/>
  <c r="P160" i="13" s="1"/>
  <c r="P161" i="13" s="1"/>
  <c r="P162" i="13" s="1"/>
  <c r="P163" i="13" s="1"/>
  <c r="P164" i="13" s="1"/>
  <c r="P165" i="13" s="1"/>
  <c r="P166" i="13" s="1"/>
  <c r="P167" i="13" s="1"/>
  <c r="P168" i="13" s="1"/>
  <c r="P169" i="13" s="1"/>
  <c r="P170" i="13" s="1"/>
  <c r="R157" i="13"/>
  <c r="P557" i="13"/>
  <c r="P558" i="13" s="1"/>
  <c r="P559" i="13" s="1"/>
  <c r="P560" i="13" s="1"/>
  <c r="P561" i="13" s="1"/>
  <c r="P562" i="13" s="1"/>
  <c r="P563" i="13" s="1"/>
  <c r="P564" i="13" s="1"/>
  <c r="P565" i="13" s="1"/>
  <c r="P566" i="13" s="1"/>
  <c r="P567" i="13" s="1"/>
  <c r="P568" i="13" s="1"/>
  <c r="P569" i="13" s="1"/>
  <c r="P570" i="13" s="1"/>
  <c r="H488" i="13"/>
  <c r="I488" i="13" s="1"/>
  <c r="H688" i="13"/>
  <c r="I688" i="13" s="1"/>
  <c r="H689" i="13"/>
  <c r="I689" i="13" s="1"/>
  <c r="H389" i="13"/>
  <c r="I389" i="13" s="1"/>
  <c r="H388" i="13"/>
  <c r="I388" i="13" s="1"/>
  <c r="H387" i="13"/>
  <c r="I387" i="13" s="1"/>
  <c r="H386" i="13"/>
  <c r="I386" i="13" s="1"/>
  <c r="H385" i="13"/>
  <c r="I385" i="13" s="1"/>
  <c r="H489" i="13"/>
  <c r="I489" i="13" s="1"/>
  <c r="H589" i="13"/>
  <c r="I589" i="13" s="1"/>
  <c r="H588" i="13"/>
  <c r="I588" i="13" s="1"/>
  <c r="H587" i="13"/>
  <c r="I587" i="13" s="1"/>
  <c r="H789" i="13"/>
  <c r="I789" i="13" s="1"/>
  <c r="H788" i="13"/>
  <c r="I788" i="13" s="1"/>
  <c r="H189" i="13"/>
  <c r="I189" i="13" s="1"/>
  <c r="H188" i="13"/>
  <c r="I188" i="13" s="1"/>
  <c r="H687" i="13"/>
  <c r="I687" i="13" s="1"/>
  <c r="H686" i="13"/>
  <c r="I686" i="13" s="1"/>
  <c r="H685" i="13"/>
  <c r="I685" i="13" s="1"/>
  <c r="H684" i="13"/>
  <c r="I684" i="13" s="1"/>
  <c r="H681" i="13"/>
  <c r="I681" i="13" s="1"/>
  <c r="H787" i="13"/>
  <c r="I787" i="13" s="1"/>
  <c r="H786" i="13"/>
  <c r="I786" i="13" s="1"/>
  <c r="H785" i="13"/>
  <c r="I785" i="13" s="1"/>
  <c r="H187" i="13"/>
  <c r="I187" i="13" s="1"/>
  <c r="H186" i="13"/>
  <c r="I186" i="13" s="1"/>
  <c r="H185" i="13"/>
  <c r="I185" i="13" s="1"/>
  <c r="H486" i="13"/>
  <c r="I486" i="13" s="1"/>
  <c r="H485" i="13"/>
  <c r="I485" i="13" s="1"/>
  <c r="H675" i="13"/>
  <c r="I675" i="13" s="1"/>
  <c r="H585" i="13"/>
  <c r="I585" i="13" s="1"/>
  <c r="H484" i="13"/>
  <c r="I484" i="13" s="1"/>
  <c r="H483" i="13"/>
  <c r="I483" i="13" s="1"/>
  <c r="H480" i="13"/>
  <c r="I480" i="13" s="1"/>
  <c r="H479" i="13"/>
  <c r="I479" i="13" s="1"/>
  <c r="H477" i="13"/>
  <c r="I477" i="13" s="1"/>
  <c r="H476" i="13"/>
  <c r="I476" i="13" s="1"/>
  <c r="H586" i="13"/>
  <c r="I586" i="13" s="1"/>
  <c r="H581" i="13"/>
  <c r="I581" i="13" s="1"/>
  <c r="H577" i="13"/>
  <c r="I577" i="13" s="1"/>
  <c r="H180" i="13"/>
  <c r="I180" i="13" s="1"/>
  <c r="H384" i="13"/>
  <c r="I384" i="13" s="1"/>
  <c r="H383" i="13"/>
  <c r="I383" i="13" s="1"/>
  <c r="H382" i="13"/>
  <c r="I382" i="13" s="1"/>
  <c r="H381" i="13"/>
  <c r="I381" i="13" s="1"/>
  <c r="H380" i="13"/>
  <c r="I380" i="13" s="1"/>
  <c r="H379" i="13"/>
  <c r="I379" i="13" s="1"/>
  <c r="H377" i="13"/>
  <c r="I377" i="13" s="1"/>
  <c r="H677" i="13"/>
  <c r="I677" i="13" s="1"/>
  <c r="H481" i="13"/>
  <c r="I481" i="13" s="1"/>
  <c r="H575" i="13"/>
  <c r="I575" i="13" s="1"/>
  <c r="H475" i="13"/>
  <c r="I475" i="13" s="1"/>
  <c r="H584" i="13"/>
  <c r="I584" i="13" s="1"/>
  <c r="H583" i="13"/>
  <c r="I583" i="13" s="1"/>
  <c r="H580" i="13"/>
  <c r="I580" i="13" s="1"/>
  <c r="H579" i="13"/>
  <c r="I579" i="13" s="1"/>
  <c r="H576" i="13"/>
  <c r="I576" i="13" s="1"/>
  <c r="H783" i="13"/>
  <c r="I783" i="13" s="1"/>
  <c r="H781" i="13"/>
  <c r="I781" i="13" s="1"/>
  <c r="H779" i="13"/>
  <c r="I779" i="13" s="1"/>
  <c r="H777" i="13"/>
  <c r="I777" i="13" s="1"/>
  <c r="H184" i="13"/>
  <c r="I184" i="13" s="1"/>
  <c r="H183" i="13"/>
  <c r="I183" i="13" s="1"/>
  <c r="H182" i="13"/>
  <c r="I182" i="13" s="1"/>
  <c r="H181" i="13"/>
  <c r="I181" i="13" s="1"/>
  <c r="H179" i="13"/>
  <c r="I179" i="13" s="1"/>
  <c r="H178" i="13"/>
  <c r="I178" i="13" s="1"/>
  <c r="H177" i="13"/>
  <c r="I177" i="13" s="1"/>
  <c r="H176" i="13"/>
  <c r="I176" i="13" s="1"/>
  <c r="H582" i="13"/>
  <c r="I582" i="13" s="1"/>
  <c r="H578" i="13"/>
  <c r="I578" i="13" s="1"/>
  <c r="H784" i="13"/>
  <c r="I784" i="13" s="1"/>
  <c r="H782" i="13"/>
  <c r="I782" i="13" s="1"/>
  <c r="H780" i="13"/>
  <c r="I780" i="13" s="1"/>
  <c r="H778" i="13"/>
  <c r="I778" i="13" s="1"/>
  <c r="H776" i="13"/>
  <c r="I776" i="13" s="1"/>
  <c r="H378" i="13"/>
  <c r="I378" i="13" s="1"/>
  <c r="H376" i="13"/>
  <c r="I376" i="13" s="1"/>
  <c r="H482" i="13"/>
  <c r="I482" i="13" s="1"/>
  <c r="H478" i="13"/>
  <c r="I478" i="13" s="1"/>
  <c r="H775" i="13"/>
  <c r="I775" i="13" s="1"/>
  <c r="H375" i="13"/>
  <c r="I375" i="13" s="1"/>
  <c r="H683" i="13"/>
  <c r="I683" i="13" s="1"/>
  <c r="H682" i="13"/>
  <c r="I682" i="13" s="1"/>
  <c r="H680" i="13"/>
  <c r="I680" i="13" s="1"/>
  <c r="H679" i="13"/>
  <c r="I679" i="13" s="1"/>
  <c r="H678" i="13"/>
  <c r="I678" i="13" s="1"/>
  <c r="H676" i="13"/>
  <c r="I676" i="13" s="1"/>
  <c r="A256" i="13"/>
  <c r="A257" i="13" s="1"/>
  <c r="A258" i="13" s="1"/>
  <c r="A175" i="13"/>
  <c r="A176" i="13" s="1"/>
  <c r="A177" i="13" s="1"/>
  <c r="A156" i="13"/>
  <c r="A157" i="13" s="1"/>
  <c r="C157" i="13" s="1"/>
  <c r="A775" i="13"/>
  <c r="A756" i="13"/>
  <c r="A757" i="13" s="1"/>
  <c r="C757" i="13" s="1"/>
  <c r="A375" i="13"/>
  <c r="M375" i="13" s="1"/>
  <c r="A575" i="13"/>
  <c r="A556" i="13"/>
  <c r="A276" i="13"/>
  <c r="M275" i="13"/>
  <c r="C57" i="13"/>
  <c r="P757" i="13"/>
  <c r="P758" i="13" s="1"/>
  <c r="P759" i="13" s="1"/>
  <c r="P760" i="13" s="1"/>
  <c r="P761" i="13" s="1"/>
  <c r="P762" i="13" s="1"/>
  <c r="P763" i="13" s="1"/>
  <c r="P764" i="13" s="1"/>
  <c r="P765" i="13" s="1"/>
  <c r="P766" i="13" s="1"/>
  <c r="P767" i="13" s="1"/>
  <c r="P768" i="13" s="1"/>
  <c r="P769" i="13" s="1"/>
  <c r="P770" i="13" s="1"/>
  <c r="Q757" i="13"/>
  <c r="Q758" i="13" s="1"/>
  <c r="Q759" i="13" s="1"/>
  <c r="Q760" i="13" s="1"/>
  <c r="Q761" i="13" s="1"/>
  <c r="Q762" i="13" s="1"/>
  <c r="Q763" i="13" s="1"/>
  <c r="Q764" i="13" s="1"/>
  <c r="Q765" i="13" s="1"/>
  <c r="Q766" i="13" s="1"/>
  <c r="Q767" i="13" s="1"/>
  <c r="Q768" i="13" s="1"/>
  <c r="Q769" i="13" s="1"/>
  <c r="Q770" i="13" s="1"/>
  <c r="R758" i="13"/>
  <c r="R759" i="13" s="1"/>
  <c r="R760" i="13" s="1"/>
  <c r="R761" i="13" s="1"/>
  <c r="R762" i="13" s="1"/>
  <c r="R763" i="13" s="1"/>
  <c r="R764" i="13" s="1"/>
  <c r="R765" i="13" s="1"/>
  <c r="R766" i="13" s="1"/>
  <c r="R767" i="13" s="1"/>
  <c r="R768" i="13" s="1"/>
  <c r="R769" i="13" s="1"/>
  <c r="R770" i="13" s="1"/>
  <c r="P657" i="13"/>
  <c r="P658" i="13" s="1"/>
  <c r="P659" i="13" s="1"/>
  <c r="P660" i="13" s="1"/>
  <c r="P661" i="13" s="1"/>
  <c r="P662" i="13" s="1"/>
  <c r="P663" i="13" s="1"/>
  <c r="P664" i="13" s="1"/>
  <c r="P665" i="13" s="1"/>
  <c r="P666" i="13" s="1"/>
  <c r="P667" i="13" s="1"/>
  <c r="P668" i="13" s="1"/>
  <c r="P669" i="13" s="1"/>
  <c r="P670" i="13" s="1"/>
  <c r="R657" i="13"/>
  <c r="R658" i="13" s="1"/>
  <c r="R659" i="13" s="1"/>
  <c r="R660" i="13" s="1"/>
  <c r="R661" i="13" s="1"/>
  <c r="R662" i="13" s="1"/>
  <c r="R663" i="13" s="1"/>
  <c r="R664" i="13" s="1"/>
  <c r="R665" i="13" s="1"/>
  <c r="R666" i="13" s="1"/>
  <c r="R667" i="13" s="1"/>
  <c r="R668" i="13" s="1"/>
  <c r="R669" i="13" s="1"/>
  <c r="R670" i="13" s="1"/>
  <c r="Q658" i="13"/>
  <c r="Q659" i="13" s="1"/>
  <c r="Q660" i="13" s="1"/>
  <c r="Q661" i="13" s="1"/>
  <c r="Q662" i="13" s="1"/>
  <c r="Q663" i="13" s="1"/>
  <c r="Q664" i="13" s="1"/>
  <c r="Q665" i="13" s="1"/>
  <c r="Q666" i="13" s="1"/>
  <c r="Q667" i="13" s="1"/>
  <c r="Q668" i="13" s="1"/>
  <c r="Q669" i="13" s="1"/>
  <c r="Q670" i="13" s="1"/>
  <c r="P357" i="13"/>
  <c r="P358" i="13" s="1"/>
  <c r="P359" i="13" s="1"/>
  <c r="P360" i="13" s="1"/>
  <c r="P361" i="13" s="1"/>
  <c r="P362" i="13" s="1"/>
  <c r="P363" i="13" s="1"/>
  <c r="P364" i="13" s="1"/>
  <c r="P365" i="13" s="1"/>
  <c r="P366" i="13" s="1"/>
  <c r="P367" i="13" s="1"/>
  <c r="P368" i="13" s="1"/>
  <c r="P369" i="13" s="1"/>
  <c r="P370" i="13" s="1"/>
  <c r="R357" i="13"/>
  <c r="R358" i="13" s="1"/>
  <c r="R359" i="13" s="1"/>
  <c r="R360" i="13" s="1"/>
  <c r="R361" i="13" s="1"/>
  <c r="R362" i="13" s="1"/>
  <c r="R363" i="13" s="1"/>
  <c r="R364" i="13" s="1"/>
  <c r="R365" i="13" s="1"/>
  <c r="R366" i="13" s="1"/>
  <c r="R367" i="13" s="1"/>
  <c r="R368" i="13" s="1"/>
  <c r="R369" i="13" s="1"/>
  <c r="R370" i="13" s="1"/>
  <c r="Q357" i="13"/>
  <c r="Q358" i="13" s="1"/>
  <c r="Q359" i="13" s="1"/>
  <c r="Q360" i="13" s="1"/>
  <c r="Q361" i="13" s="1"/>
  <c r="Q362" i="13" s="1"/>
  <c r="Q363" i="13" s="1"/>
  <c r="Q364" i="13" s="1"/>
  <c r="Q365" i="13" s="1"/>
  <c r="Q366" i="13" s="1"/>
  <c r="Q367" i="13" s="1"/>
  <c r="Q368" i="13" s="1"/>
  <c r="Q369" i="13" s="1"/>
  <c r="Q370" i="13" s="1"/>
  <c r="A358" i="13"/>
  <c r="C357" i="13"/>
  <c r="Q157" i="13"/>
  <c r="Q158" i="13" s="1"/>
  <c r="Q159" i="13" s="1"/>
  <c r="Q160" i="13" s="1"/>
  <c r="Q161" i="13" s="1"/>
  <c r="Q162" i="13" s="1"/>
  <c r="Q163" i="13" s="1"/>
  <c r="Q164" i="13" s="1"/>
  <c r="Q165" i="13" s="1"/>
  <c r="Q166" i="13" s="1"/>
  <c r="Q167" i="13" s="1"/>
  <c r="Q168" i="13" s="1"/>
  <c r="Q169" i="13" s="1"/>
  <c r="Q170" i="13" s="1"/>
  <c r="H175" i="13"/>
  <c r="I175" i="13" s="1"/>
  <c r="R158" i="13"/>
  <c r="R159" i="13" s="1"/>
  <c r="R160" i="13" s="1"/>
  <c r="R161" i="13" s="1"/>
  <c r="R162" i="13" s="1"/>
  <c r="R163" i="13" s="1"/>
  <c r="R164" i="13" s="1"/>
  <c r="R165" i="13" s="1"/>
  <c r="R166" i="13" s="1"/>
  <c r="R167" i="13" s="1"/>
  <c r="R168" i="13" s="1"/>
  <c r="R169" i="13" s="1"/>
  <c r="R170" i="13" s="1"/>
  <c r="D257" i="13"/>
  <c r="E257" i="13"/>
  <c r="F257" i="13"/>
  <c r="G257" i="13"/>
  <c r="H257" i="13"/>
  <c r="I257" i="13"/>
  <c r="J257" i="13"/>
  <c r="K257" i="13"/>
  <c r="L257" i="13"/>
  <c r="M257" i="13"/>
  <c r="N257" i="13"/>
  <c r="O257" i="13"/>
  <c r="D258" i="13"/>
  <c r="E258" i="13"/>
  <c r="F258" i="13"/>
  <c r="G258" i="13"/>
  <c r="H258" i="13"/>
  <c r="I258" i="13"/>
  <c r="J258" i="13"/>
  <c r="K258" i="13"/>
  <c r="L258" i="13"/>
  <c r="M258" i="13"/>
  <c r="N258" i="13"/>
  <c r="O258" i="13"/>
  <c r="D259" i="13"/>
  <c r="E259" i="13"/>
  <c r="F259" i="13"/>
  <c r="G259" i="13"/>
  <c r="H259" i="13"/>
  <c r="I259" i="13"/>
  <c r="J259" i="13"/>
  <c r="K259" i="13"/>
  <c r="L259" i="13"/>
  <c r="M259" i="13"/>
  <c r="N259" i="13"/>
  <c r="O259" i="13"/>
  <c r="D260" i="13"/>
  <c r="E260" i="13"/>
  <c r="F260" i="13"/>
  <c r="G260" i="13"/>
  <c r="H260" i="13"/>
  <c r="I260" i="13"/>
  <c r="J260" i="13"/>
  <c r="K260" i="13"/>
  <c r="L260" i="13"/>
  <c r="M260" i="13"/>
  <c r="N260" i="13"/>
  <c r="O260" i="13"/>
  <c r="D261" i="13"/>
  <c r="E261" i="13"/>
  <c r="F261" i="13"/>
  <c r="G261" i="13"/>
  <c r="H261" i="13"/>
  <c r="I261" i="13"/>
  <c r="J261" i="13"/>
  <c r="K261" i="13"/>
  <c r="L261" i="13"/>
  <c r="M261" i="13"/>
  <c r="N261" i="13"/>
  <c r="O261" i="13"/>
  <c r="D262" i="13"/>
  <c r="E262" i="13"/>
  <c r="F262" i="13"/>
  <c r="G262" i="13"/>
  <c r="H262" i="13"/>
  <c r="I262" i="13"/>
  <c r="J262" i="13"/>
  <c r="K262" i="13"/>
  <c r="L262" i="13"/>
  <c r="M262" i="13"/>
  <c r="N262" i="13"/>
  <c r="O262" i="13"/>
  <c r="D263" i="13"/>
  <c r="E263" i="13"/>
  <c r="F263" i="13"/>
  <c r="G263" i="13"/>
  <c r="H263" i="13"/>
  <c r="I263" i="13"/>
  <c r="J263" i="13"/>
  <c r="K263" i="13"/>
  <c r="L263" i="13"/>
  <c r="M263" i="13"/>
  <c r="N263" i="13"/>
  <c r="O263" i="13"/>
  <c r="D264" i="13"/>
  <c r="E264" i="13"/>
  <c r="F264" i="13"/>
  <c r="G264" i="13"/>
  <c r="H264" i="13"/>
  <c r="I264" i="13"/>
  <c r="J264" i="13"/>
  <c r="K264" i="13"/>
  <c r="L264" i="13"/>
  <c r="M264" i="13"/>
  <c r="N264" i="13"/>
  <c r="O264" i="13"/>
  <c r="D265" i="13"/>
  <c r="E265" i="13"/>
  <c r="F265" i="13"/>
  <c r="G265" i="13"/>
  <c r="H265" i="13"/>
  <c r="I265" i="13"/>
  <c r="J265" i="13"/>
  <c r="K265" i="13"/>
  <c r="L265" i="13"/>
  <c r="M265" i="13"/>
  <c r="N265" i="13"/>
  <c r="O265" i="13"/>
  <c r="D266" i="13"/>
  <c r="E266" i="13"/>
  <c r="F266" i="13"/>
  <c r="G266" i="13"/>
  <c r="H266" i="13"/>
  <c r="I266" i="13"/>
  <c r="J266" i="13"/>
  <c r="K266" i="13"/>
  <c r="L266" i="13"/>
  <c r="M266" i="13"/>
  <c r="N266" i="13"/>
  <c r="O266" i="13"/>
  <c r="D267" i="13"/>
  <c r="E267" i="13"/>
  <c r="F267" i="13"/>
  <c r="G267" i="13"/>
  <c r="H267" i="13"/>
  <c r="I267" i="13"/>
  <c r="J267" i="13"/>
  <c r="K267" i="13"/>
  <c r="L267" i="13"/>
  <c r="M267" i="13"/>
  <c r="N267" i="13"/>
  <c r="O267" i="13"/>
  <c r="D268" i="13"/>
  <c r="E268" i="13"/>
  <c r="F268" i="13"/>
  <c r="G268" i="13"/>
  <c r="H268" i="13"/>
  <c r="I268" i="13"/>
  <c r="J268" i="13"/>
  <c r="K268" i="13"/>
  <c r="L268" i="13"/>
  <c r="M268" i="13"/>
  <c r="N268" i="13"/>
  <c r="O268" i="13"/>
  <c r="D269" i="13"/>
  <c r="E269" i="13"/>
  <c r="F269" i="13"/>
  <c r="G269" i="13"/>
  <c r="H269" i="13"/>
  <c r="I269" i="13"/>
  <c r="J269" i="13"/>
  <c r="K269" i="13"/>
  <c r="L269" i="13"/>
  <c r="M269" i="13"/>
  <c r="N269" i="13"/>
  <c r="O269" i="13"/>
  <c r="D270" i="13"/>
  <c r="E270" i="13"/>
  <c r="F270" i="13"/>
  <c r="G270" i="13"/>
  <c r="H270" i="13"/>
  <c r="I270" i="13"/>
  <c r="J270" i="13"/>
  <c r="K270" i="13"/>
  <c r="L270" i="13"/>
  <c r="M270" i="13"/>
  <c r="N270" i="13"/>
  <c r="O270" i="13"/>
  <c r="D256" i="13"/>
  <c r="E256" i="13"/>
  <c r="F256" i="13"/>
  <c r="G256" i="13"/>
  <c r="P256" i="13" s="1"/>
  <c r="P257" i="13" s="1"/>
  <c r="P258" i="13" s="1"/>
  <c r="P259" i="13" s="1"/>
  <c r="P260" i="13" s="1"/>
  <c r="P261" i="13" s="1"/>
  <c r="P262" i="13" s="1"/>
  <c r="P263" i="13" s="1"/>
  <c r="P264" i="13" s="1"/>
  <c r="P265" i="13" s="1"/>
  <c r="P266" i="13" s="1"/>
  <c r="P267" i="13" s="1"/>
  <c r="P268" i="13" s="1"/>
  <c r="P269" i="13" s="1"/>
  <c r="P270" i="13" s="1"/>
  <c r="H256" i="13"/>
  <c r="Q256" i="13" s="1"/>
  <c r="Q257" i="13" s="1"/>
  <c r="Q258" i="13" s="1"/>
  <c r="Q259" i="13" s="1"/>
  <c r="Q260" i="13" s="1"/>
  <c r="Q261" i="13" s="1"/>
  <c r="Q262" i="13" s="1"/>
  <c r="Q263" i="13" s="1"/>
  <c r="Q264" i="13" s="1"/>
  <c r="Q265" i="13" s="1"/>
  <c r="Q266" i="13" s="1"/>
  <c r="Q267" i="13" s="1"/>
  <c r="Q268" i="13" s="1"/>
  <c r="Q269" i="13" s="1"/>
  <c r="Q270" i="13" s="1"/>
  <c r="I256" i="13"/>
  <c r="R256" i="13" s="1"/>
  <c r="R257" i="13" s="1"/>
  <c r="R258" i="13" s="1"/>
  <c r="R259" i="13" s="1"/>
  <c r="R260" i="13" s="1"/>
  <c r="R261" i="13" s="1"/>
  <c r="R262" i="13" s="1"/>
  <c r="R263" i="13" s="1"/>
  <c r="R264" i="13" s="1"/>
  <c r="R265" i="13" s="1"/>
  <c r="R266" i="13" s="1"/>
  <c r="R267" i="13" s="1"/>
  <c r="R268" i="13" s="1"/>
  <c r="R269" i="13" s="1"/>
  <c r="R270" i="13" s="1"/>
  <c r="J256" i="13"/>
  <c r="K256" i="13"/>
  <c r="L256" i="13"/>
  <c r="M256" i="13"/>
  <c r="N256" i="13"/>
  <c r="O256" i="13"/>
  <c r="D57" i="13"/>
  <c r="E57" i="13"/>
  <c r="F57" i="13"/>
  <c r="G57" i="13"/>
  <c r="H57" i="13"/>
  <c r="I57" i="13"/>
  <c r="J57" i="13"/>
  <c r="K57" i="13"/>
  <c r="L57" i="13"/>
  <c r="M57" i="13"/>
  <c r="N57" i="13"/>
  <c r="O57" i="13"/>
  <c r="D58" i="13"/>
  <c r="E58" i="13"/>
  <c r="F58" i="13"/>
  <c r="G58" i="13"/>
  <c r="H58" i="13"/>
  <c r="I58" i="13"/>
  <c r="J58" i="13"/>
  <c r="K58" i="13"/>
  <c r="L58" i="13"/>
  <c r="M58" i="13"/>
  <c r="N58" i="13"/>
  <c r="O58" i="13"/>
  <c r="D59" i="13"/>
  <c r="E59" i="13"/>
  <c r="F59" i="13"/>
  <c r="G59" i="13"/>
  <c r="H59" i="13"/>
  <c r="I59" i="13"/>
  <c r="J59" i="13"/>
  <c r="K59" i="13"/>
  <c r="L59" i="13"/>
  <c r="M59" i="13"/>
  <c r="N59" i="13"/>
  <c r="O59" i="13"/>
  <c r="D60" i="13"/>
  <c r="E60" i="13"/>
  <c r="F60" i="13"/>
  <c r="G60" i="13"/>
  <c r="H60" i="13"/>
  <c r="I60" i="13"/>
  <c r="J60" i="13"/>
  <c r="K60" i="13"/>
  <c r="L60" i="13"/>
  <c r="M60" i="13"/>
  <c r="N60" i="13"/>
  <c r="O60" i="13"/>
  <c r="D61" i="13"/>
  <c r="E61" i="13"/>
  <c r="F61" i="13"/>
  <c r="G61" i="13"/>
  <c r="H61" i="13"/>
  <c r="I61" i="13"/>
  <c r="J61" i="13"/>
  <c r="K61" i="13"/>
  <c r="L61" i="13"/>
  <c r="M61" i="13"/>
  <c r="N61" i="13"/>
  <c r="O61" i="13"/>
  <c r="D62" i="13"/>
  <c r="E62" i="13"/>
  <c r="F62" i="13"/>
  <c r="G62" i="13"/>
  <c r="H62" i="13"/>
  <c r="I62" i="13"/>
  <c r="J62" i="13"/>
  <c r="K62" i="13"/>
  <c r="L62" i="13"/>
  <c r="M62" i="13"/>
  <c r="N62" i="13"/>
  <c r="O62" i="13"/>
  <c r="D63" i="13"/>
  <c r="E63" i="13"/>
  <c r="F63" i="13"/>
  <c r="G63" i="13"/>
  <c r="H63" i="13"/>
  <c r="I63" i="13"/>
  <c r="J63" i="13"/>
  <c r="K63" i="13"/>
  <c r="L63" i="13"/>
  <c r="M63" i="13"/>
  <c r="N63" i="13"/>
  <c r="O63" i="13"/>
  <c r="D64" i="13"/>
  <c r="E64" i="13"/>
  <c r="F64" i="13"/>
  <c r="G64" i="13"/>
  <c r="H64" i="13"/>
  <c r="I64" i="13"/>
  <c r="J64" i="13"/>
  <c r="K64" i="13"/>
  <c r="L64" i="13"/>
  <c r="M64" i="13"/>
  <c r="N64" i="13"/>
  <c r="O64" i="13"/>
  <c r="D65" i="13"/>
  <c r="E65" i="13"/>
  <c r="F65" i="13"/>
  <c r="G65" i="13"/>
  <c r="H65" i="13"/>
  <c r="I65" i="13"/>
  <c r="J65" i="13"/>
  <c r="K65" i="13"/>
  <c r="L65" i="13"/>
  <c r="M65" i="13"/>
  <c r="N65" i="13"/>
  <c r="O65" i="13"/>
  <c r="D66" i="13"/>
  <c r="E66" i="13"/>
  <c r="F66" i="13"/>
  <c r="G66" i="13"/>
  <c r="H66" i="13"/>
  <c r="I66" i="13"/>
  <c r="J66" i="13"/>
  <c r="K66" i="13"/>
  <c r="L66" i="13"/>
  <c r="M66" i="13"/>
  <c r="N66" i="13"/>
  <c r="O66" i="13"/>
  <c r="D67" i="13"/>
  <c r="E67" i="13"/>
  <c r="F67" i="13"/>
  <c r="G67" i="13"/>
  <c r="H67" i="13"/>
  <c r="I67" i="13"/>
  <c r="J67" i="13"/>
  <c r="K67" i="13"/>
  <c r="L67" i="13"/>
  <c r="M67" i="13"/>
  <c r="N67" i="13"/>
  <c r="O67" i="13"/>
  <c r="D68" i="13"/>
  <c r="E68" i="13"/>
  <c r="F68" i="13"/>
  <c r="G68" i="13"/>
  <c r="H68" i="13"/>
  <c r="I68" i="13"/>
  <c r="J68" i="13"/>
  <c r="K68" i="13"/>
  <c r="L68" i="13"/>
  <c r="M68" i="13"/>
  <c r="N68" i="13"/>
  <c r="O68" i="13"/>
  <c r="D69" i="13"/>
  <c r="E69" i="13"/>
  <c r="F69" i="13"/>
  <c r="G69" i="13"/>
  <c r="H69" i="13"/>
  <c r="I69" i="13"/>
  <c r="J69" i="13"/>
  <c r="K69" i="13"/>
  <c r="L69" i="13"/>
  <c r="M69" i="13"/>
  <c r="N69" i="13"/>
  <c r="O69" i="13"/>
  <c r="D70" i="13"/>
  <c r="E70" i="13"/>
  <c r="F70" i="13"/>
  <c r="G70" i="13"/>
  <c r="H70" i="13"/>
  <c r="I70" i="13"/>
  <c r="J70" i="13"/>
  <c r="K70" i="13"/>
  <c r="L70" i="13"/>
  <c r="M70" i="13"/>
  <c r="N70" i="13"/>
  <c r="O70" i="13"/>
  <c r="E56" i="13"/>
  <c r="F56" i="13"/>
  <c r="G56" i="13"/>
  <c r="P56" i="13" s="1"/>
  <c r="H56" i="13"/>
  <c r="Q56" i="13" s="1"/>
  <c r="I56" i="13"/>
  <c r="R56" i="13" s="1"/>
  <c r="J56" i="13"/>
  <c r="K56" i="13"/>
  <c r="L56" i="13"/>
  <c r="M56" i="13"/>
  <c r="N56" i="13"/>
  <c r="O56" i="13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43" i="8"/>
  <c r="F44" i="8"/>
  <c r="F45" i="8"/>
  <c r="F46" i="8"/>
  <c r="F47" i="8"/>
  <c r="F48" i="8"/>
  <c r="F49" i="8"/>
  <c r="F50" i="8"/>
  <c r="F51" i="8"/>
  <c r="F52" i="8"/>
  <c r="F53" i="8"/>
  <c r="F54" i="8"/>
  <c r="F55" i="8"/>
  <c r="F43" i="8"/>
  <c r="B44" i="8"/>
  <c r="B45" i="8"/>
  <c r="B46" i="8"/>
  <c r="B47" i="8"/>
  <c r="B48" i="8"/>
  <c r="B49" i="8"/>
  <c r="B50" i="8"/>
  <c r="B51" i="8"/>
  <c r="B52" i="8"/>
  <c r="B4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3" i="8"/>
  <c r="F4" i="8"/>
  <c r="F5" i="8"/>
  <c r="F6" i="8"/>
  <c r="F7" i="8"/>
  <c r="F8" i="8"/>
  <c r="F9" i="8"/>
  <c r="F10" i="8"/>
  <c r="F11" i="8"/>
  <c r="F12" i="8"/>
  <c r="F13" i="8"/>
  <c r="F14" i="8"/>
  <c r="F15" i="8"/>
  <c r="F3" i="8"/>
  <c r="B4" i="8"/>
  <c r="B5" i="8"/>
  <c r="B6" i="8"/>
  <c r="B7" i="8"/>
  <c r="B8" i="8"/>
  <c r="B9" i="8"/>
  <c r="B10" i="8"/>
  <c r="B11" i="8"/>
  <c r="B12" i="8"/>
  <c r="C4" i="8"/>
  <c r="C82" i="8" s="1"/>
  <c r="B3" i="8"/>
  <c r="L38" i="8"/>
  <c r="L58" i="8" s="1"/>
  <c r="M38" i="8"/>
  <c r="K29" i="8"/>
  <c r="K38" i="8"/>
  <c r="J24" i="8"/>
  <c r="L24" i="8" s="1"/>
  <c r="L44" i="8" s="1"/>
  <c r="J25" i="8"/>
  <c r="M25" i="8" s="1"/>
  <c r="J26" i="8"/>
  <c r="L26" i="8" s="1"/>
  <c r="L46" i="8" s="1"/>
  <c r="J27" i="8"/>
  <c r="M27" i="8" s="1"/>
  <c r="J28" i="8"/>
  <c r="L28" i="8" s="1"/>
  <c r="L48" i="8" s="1"/>
  <c r="J29" i="8"/>
  <c r="M29" i="8" s="1"/>
  <c r="J30" i="8"/>
  <c r="L30" i="8" s="1"/>
  <c r="L50" i="8" s="1"/>
  <c r="J31" i="8"/>
  <c r="M31" i="8" s="1"/>
  <c r="J32" i="8"/>
  <c r="L32" i="8" s="1"/>
  <c r="L52" i="8" s="1"/>
  <c r="J33" i="8"/>
  <c r="L33" i="8" s="1"/>
  <c r="L53" i="8" s="1"/>
  <c r="J34" i="8"/>
  <c r="L34" i="8" s="1"/>
  <c r="L54" i="8" s="1"/>
  <c r="J35" i="8"/>
  <c r="K35" i="8" s="1"/>
  <c r="J36" i="8"/>
  <c r="L36" i="8" s="1"/>
  <c r="L56" i="8" s="1"/>
  <c r="J37" i="8"/>
  <c r="L37" i="8" s="1"/>
  <c r="L57" i="8" s="1"/>
  <c r="J23" i="8"/>
  <c r="M23" i="8" s="1"/>
  <c r="H27" i="8"/>
  <c r="H47" i="8" s="1"/>
  <c r="I32" i="8"/>
  <c r="F24" i="8"/>
  <c r="H24" i="8" s="1"/>
  <c r="H44" i="8" s="1"/>
  <c r="F25" i="8"/>
  <c r="H25" i="8" s="1"/>
  <c r="H45" i="8" s="1"/>
  <c r="F26" i="8"/>
  <c r="G26" i="8" s="1"/>
  <c r="F27" i="8"/>
  <c r="I27" i="8" s="1"/>
  <c r="F28" i="8"/>
  <c r="H28" i="8" s="1"/>
  <c r="H48" i="8" s="1"/>
  <c r="F29" i="8"/>
  <c r="H29" i="8" s="1"/>
  <c r="H49" i="8" s="1"/>
  <c r="F30" i="8"/>
  <c r="G30" i="8" s="1"/>
  <c r="F31" i="8"/>
  <c r="I31" i="8" s="1"/>
  <c r="F32" i="8"/>
  <c r="H32" i="8" s="1"/>
  <c r="H52" i="8" s="1"/>
  <c r="F33" i="8"/>
  <c r="H33" i="8" s="1"/>
  <c r="H53" i="8" s="1"/>
  <c r="F34" i="8"/>
  <c r="G34" i="8" s="1"/>
  <c r="F35" i="8"/>
  <c r="I35" i="8" s="1"/>
  <c r="F23" i="8"/>
  <c r="H23" i="8" s="1"/>
  <c r="H43" i="8" s="1"/>
  <c r="G23" i="8"/>
  <c r="E27" i="8"/>
  <c r="D30" i="8"/>
  <c r="D50" i="8" s="1"/>
  <c r="B24" i="8"/>
  <c r="E24" i="8" s="1"/>
  <c r="E44" i="8" s="1"/>
  <c r="B25" i="8"/>
  <c r="C25" i="8" s="1"/>
  <c r="C45" i="8" s="1"/>
  <c r="B26" i="8"/>
  <c r="E26" i="8" s="1"/>
  <c r="B27" i="8"/>
  <c r="C27" i="8" s="1"/>
  <c r="B28" i="8"/>
  <c r="E28" i="8" s="1"/>
  <c r="E48" i="8" s="1"/>
  <c r="B29" i="8"/>
  <c r="D29" i="8" s="1"/>
  <c r="D49" i="8" s="1"/>
  <c r="B30" i="8"/>
  <c r="C30" i="8" s="1"/>
  <c r="C50" i="8" s="1"/>
  <c r="B31" i="8"/>
  <c r="C31" i="8" s="1"/>
  <c r="B32" i="8"/>
  <c r="C32" i="8" s="1"/>
  <c r="B23" i="8"/>
  <c r="D23" i="8" s="1"/>
  <c r="D43" i="8" s="1"/>
  <c r="C5" i="8"/>
  <c r="C83" i="8" s="1"/>
  <c r="C6" i="8"/>
  <c r="C84" i="8" s="1"/>
  <c r="C7" i="8"/>
  <c r="C85" i="8" s="1"/>
  <c r="C8" i="8"/>
  <c r="C86" i="8" s="1"/>
  <c r="C9" i="8"/>
  <c r="C87" i="8" s="1"/>
  <c r="C10" i="8"/>
  <c r="C88" i="8" s="1"/>
  <c r="C11" i="8"/>
  <c r="C89" i="8" s="1"/>
  <c r="C12" i="8"/>
  <c r="C90" i="8" s="1"/>
  <c r="C3" i="8"/>
  <c r="C81" i="8" s="1"/>
  <c r="E4" i="8"/>
  <c r="E82" i="8" s="1"/>
  <c r="E5" i="8"/>
  <c r="E83" i="8" s="1"/>
  <c r="E6" i="8"/>
  <c r="E84" i="8" s="1"/>
  <c r="E7" i="8"/>
  <c r="E85" i="8" s="1"/>
  <c r="E8" i="8"/>
  <c r="E86" i="8" s="1"/>
  <c r="E9" i="8"/>
  <c r="E87" i="8" s="1"/>
  <c r="E10" i="8"/>
  <c r="E88" i="8" s="1"/>
  <c r="E11" i="8"/>
  <c r="E89" i="8" s="1"/>
  <c r="E12" i="8"/>
  <c r="E90" i="8" s="1"/>
  <c r="E3" i="8"/>
  <c r="E81" i="8" s="1"/>
  <c r="K4" i="8"/>
  <c r="K82" i="8" s="1"/>
  <c r="K5" i="8"/>
  <c r="K83" i="8" s="1"/>
  <c r="K6" i="8"/>
  <c r="K84" i="8" s="1"/>
  <c r="K7" i="8"/>
  <c r="K85" i="8" s="1"/>
  <c r="K8" i="8"/>
  <c r="K86" i="8" s="1"/>
  <c r="K9" i="8"/>
  <c r="K87" i="8" s="1"/>
  <c r="K10" i="8"/>
  <c r="K88" i="8" s="1"/>
  <c r="K11" i="8"/>
  <c r="K89" i="8" s="1"/>
  <c r="K12" i="8"/>
  <c r="K90" i="8" s="1"/>
  <c r="K13" i="8"/>
  <c r="K91" i="8" s="1"/>
  <c r="K14" i="8"/>
  <c r="K92" i="8" s="1"/>
  <c r="K15" i="8"/>
  <c r="K93" i="8" s="1"/>
  <c r="K16" i="8"/>
  <c r="K94" i="8" s="1"/>
  <c r="K17" i="8"/>
  <c r="K95" i="8" s="1"/>
  <c r="K18" i="8"/>
  <c r="K96" i="8" s="1"/>
  <c r="K3" i="8"/>
  <c r="K81" i="8" s="1"/>
  <c r="G4" i="8"/>
  <c r="G82" i="8" s="1"/>
  <c r="G5" i="8"/>
  <c r="G83" i="8" s="1"/>
  <c r="G6" i="8"/>
  <c r="G84" i="8" s="1"/>
  <c r="G7" i="8"/>
  <c r="G85" i="8" s="1"/>
  <c r="G8" i="8"/>
  <c r="G86" i="8" s="1"/>
  <c r="G9" i="8"/>
  <c r="G87" i="8" s="1"/>
  <c r="G10" i="8"/>
  <c r="G88" i="8" s="1"/>
  <c r="G11" i="8"/>
  <c r="G89" i="8" s="1"/>
  <c r="G12" i="8"/>
  <c r="G90" i="8" s="1"/>
  <c r="G13" i="8"/>
  <c r="G91" i="8" s="1"/>
  <c r="G14" i="8"/>
  <c r="G92" i="8" s="1"/>
  <c r="G15" i="8"/>
  <c r="G93" i="8" s="1"/>
  <c r="G3" i="8"/>
  <c r="G81" i="8" s="1"/>
  <c r="I4" i="8"/>
  <c r="I82" i="8" s="1"/>
  <c r="I5" i="8"/>
  <c r="I83" i="8" s="1"/>
  <c r="I6" i="8"/>
  <c r="I84" i="8" s="1"/>
  <c r="I7" i="8"/>
  <c r="I85" i="8" s="1"/>
  <c r="I8" i="8"/>
  <c r="I86" i="8" s="1"/>
  <c r="I9" i="8"/>
  <c r="I87" i="8" s="1"/>
  <c r="I10" i="8"/>
  <c r="I88" i="8" s="1"/>
  <c r="I11" i="8"/>
  <c r="I89" i="8" s="1"/>
  <c r="I12" i="8"/>
  <c r="I90" i="8" s="1"/>
  <c r="I13" i="8"/>
  <c r="I91" i="8" s="1"/>
  <c r="I14" i="8"/>
  <c r="I92" i="8" s="1"/>
  <c r="I15" i="8"/>
  <c r="I93" i="8" s="1"/>
  <c r="I3" i="8"/>
  <c r="I81" i="8" s="1"/>
  <c r="G43" i="8" l="1"/>
  <c r="I52" i="8"/>
  <c r="K37" i="8"/>
  <c r="K57" i="8" s="1"/>
  <c r="K49" i="8"/>
  <c r="E47" i="8"/>
  <c r="H31" i="8"/>
  <c r="H51" i="8" s="1"/>
  <c r="I26" i="8"/>
  <c r="I46" i="8" s="1"/>
  <c r="K34" i="8"/>
  <c r="K54" i="8" s="1"/>
  <c r="K26" i="8"/>
  <c r="K46" i="8" s="1"/>
  <c r="M37" i="8"/>
  <c r="C52" i="8"/>
  <c r="C51" i="8"/>
  <c r="C47" i="8"/>
  <c r="E31" i="8"/>
  <c r="E51" i="8" s="1"/>
  <c r="D27" i="8"/>
  <c r="D47" i="8" s="1"/>
  <c r="I55" i="8"/>
  <c r="I51" i="8"/>
  <c r="I47" i="8"/>
  <c r="H35" i="8"/>
  <c r="H55" i="8" s="1"/>
  <c r="I30" i="8"/>
  <c r="I50" i="8" s="1"/>
  <c r="I24" i="8"/>
  <c r="I44" i="8" s="1"/>
  <c r="K33" i="8"/>
  <c r="K53" i="8" s="1"/>
  <c r="K25" i="8"/>
  <c r="K45" i="8" s="1"/>
  <c r="M33" i="8"/>
  <c r="E46" i="8"/>
  <c r="D31" i="8"/>
  <c r="D51" i="8" s="1"/>
  <c r="D26" i="8"/>
  <c r="D46" i="8" s="1"/>
  <c r="G54" i="8"/>
  <c r="G50" i="8"/>
  <c r="G46" i="8"/>
  <c r="I34" i="8"/>
  <c r="I54" i="8" s="1"/>
  <c r="I28" i="8"/>
  <c r="I48" i="8" s="1"/>
  <c r="K23" i="8"/>
  <c r="K43" i="8" s="1"/>
  <c r="K55" i="8"/>
  <c r="K58" i="8"/>
  <c r="K30" i="8"/>
  <c r="K50" i="8" s="1"/>
  <c r="A475" i="13"/>
  <c r="M475" i="13" s="1"/>
  <c r="C657" i="13"/>
  <c r="C29" i="8"/>
  <c r="C49" i="8" s="1"/>
  <c r="G33" i="8"/>
  <c r="G53" i="8" s="1"/>
  <c r="G29" i="8"/>
  <c r="G49" i="8" s="1"/>
  <c r="G25" i="8"/>
  <c r="G45" i="8" s="1"/>
  <c r="E32" i="8"/>
  <c r="E52" i="8" s="1"/>
  <c r="C26" i="8"/>
  <c r="C46" i="8" s="1"/>
  <c r="G32" i="8"/>
  <c r="G52" i="8" s="1"/>
  <c r="G28" i="8"/>
  <c r="G48" i="8" s="1"/>
  <c r="G24" i="8"/>
  <c r="G44" i="8" s="1"/>
  <c r="H34" i="8"/>
  <c r="H54" i="8" s="1"/>
  <c r="H30" i="8"/>
  <c r="H50" i="8" s="1"/>
  <c r="H26" i="8"/>
  <c r="H46" i="8" s="1"/>
  <c r="M35" i="8"/>
  <c r="C23" i="8"/>
  <c r="C43" i="8" s="1"/>
  <c r="D32" i="8"/>
  <c r="D52" i="8" s="1"/>
  <c r="E29" i="8"/>
  <c r="E49" i="8" s="1"/>
  <c r="D28" i="8"/>
  <c r="D48" i="8" s="1"/>
  <c r="E25" i="8"/>
  <c r="E45" i="8" s="1"/>
  <c r="D24" i="8"/>
  <c r="D44" i="8" s="1"/>
  <c r="G35" i="8"/>
  <c r="G55" i="8" s="1"/>
  <c r="G31" i="8"/>
  <c r="G51" i="8" s="1"/>
  <c r="G27" i="8"/>
  <c r="G47" i="8" s="1"/>
  <c r="I33" i="8"/>
  <c r="I53" i="8" s="1"/>
  <c r="I29" i="8"/>
  <c r="I49" i="8" s="1"/>
  <c r="I25" i="8"/>
  <c r="I45" i="8" s="1"/>
  <c r="I23" i="8"/>
  <c r="I43" i="8" s="1"/>
  <c r="K36" i="8"/>
  <c r="K56" i="8" s="1"/>
  <c r="K32" i="8"/>
  <c r="K52" i="8" s="1"/>
  <c r="K28" i="8"/>
  <c r="K48" i="8" s="1"/>
  <c r="K24" i="8"/>
  <c r="K44" i="8" s="1"/>
  <c r="L35" i="8"/>
  <c r="L55" i="8" s="1"/>
  <c r="L31" i="8"/>
  <c r="L51" i="8" s="1"/>
  <c r="L29" i="8"/>
  <c r="L49" i="8" s="1"/>
  <c r="L27" i="8"/>
  <c r="L47" i="8" s="1"/>
  <c r="L25" i="8"/>
  <c r="L45" i="8" s="1"/>
  <c r="L23" i="8"/>
  <c r="L43" i="8" s="1"/>
  <c r="E23" i="8"/>
  <c r="E43" i="8" s="1"/>
  <c r="E30" i="8"/>
  <c r="E50" i="8" s="1"/>
  <c r="C28" i="8"/>
  <c r="C48" i="8" s="1"/>
  <c r="D25" i="8"/>
  <c r="D45" i="8" s="1"/>
  <c r="C24" i="8"/>
  <c r="C44" i="8" s="1"/>
  <c r="K31" i="8"/>
  <c r="K51" i="8" s="1"/>
  <c r="K27" i="8"/>
  <c r="K47" i="8" s="1"/>
  <c r="M36" i="8"/>
  <c r="M34" i="8"/>
  <c r="M32" i="8"/>
  <c r="M52" i="8" s="1"/>
  <c r="M30" i="8"/>
  <c r="M28" i="8"/>
  <c r="M26" i="8"/>
  <c r="M24" i="8"/>
  <c r="M44" i="8" s="1"/>
  <c r="A675" i="13"/>
  <c r="M675" i="13" s="1"/>
  <c r="P57" i="13"/>
  <c r="P58" i="13" s="1"/>
  <c r="P59" i="13" s="1"/>
  <c r="P60" i="13" s="1"/>
  <c r="P61" i="13" s="1"/>
  <c r="P62" i="13" s="1"/>
  <c r="P63" i="13" s="1"/>
  <c r="P64" i="13" s="1"/>
  <c r="P65" i="13" s="1"/>
  <c r="P66" i="13" s="1"/>
  <c r="P67" i="13" s="1"/>
  <c r="P68" i="13" s="1"/>
  <c r="P69" i="13" s="1"/>
  <c r="P70" i="13" s="1"/>
  <c r="R57" i="13"/>
  <c r="R58" i="13" s="1"/>
  <c r="R59" i="13" s="1"/>
  <c r="R60" i="13" s="1"/>
  <c r="R61" i="13" s="1"/>
  <c r="R62" i="13" s="1"/>
  <c r="R63" i="13" s="1"/>
  <c r="R64" i="13" s="1"/>
  <c r="R65" i="13" s="1"/>
  <c r="R66" i="13" s="1"/>
  <c r="R67" i="13" s="1"/>
  <c r="R68" i="13" s="1"/>
  <c r="R69" i="13" s="1"/>
  <c r="R70" i="13" s="1"/>
  <c r="Q57" i="13"/>
  <c r="Q58" i="13" s="1"/>
  <c r="Q59" i="13" s="1"/>
  <c r="Q60" i="13" s="1"/>
  <c r="Q61" i="13" s="1"/>
  <c r="Q62" i="13" s="1"/>
  <c r="Q63" i="13" s="1"/>
  <c r="Q64" i="13" s="1"/>
  <c r="Q65" i="13" s="1"/>
  <c r="Q66" i="13" s="1"/>
  <c r="Q67" i="13" s="1"/>
  <c r="Q68" i="13" s="1"/>
  <c r="Q69" i="13" s="1"/>
  <c r="Q70" i="13" s="1"/>
  <c r="H289" i="13"/>
  <c r="I289" i="13" s="1"/>
  <c r="H288" i="13"/>
  <c r="I288" i="13" s="1"/>
  <c r="H286" i="13"/>
  <c r="I286" i="13" s="1"/>
  <c r="H285" i="13"/>
  <c r="I285" i="13" s="1"/>
  <c r="H287" i="13"/>
  <c r="I287" i="13" s="1"/>
  <c r="H275" i="13"/>
  <c r="I275" i="13" s="1"/>
  <c r="H284" i="13"/>
  <c r="I284" i="13" s="1"/>
  <c r="H283" i="13"/>
  <c r="I283" i="13" s="1"/>
  <c r="H282" i="13"/>
  <c r="I282" i="13" s="1"/>
  <c r="H281" i="13"/>
  <c r="I281" i="13" s="1"/>
  <c r="H280" i="13"/>
  <c r="I280" i="13" s="1"/>
  <c r="H279" i="13"/>
  <c r="I279" i="13" s="1"/>
  <c r="H278" i="13"/>
  <c r="I278" i="13" s="1"/>
  <c r="H277" i="13"/>
  <c r="I277" i="13" s="1"/>
  <c r="H276" i="13"/>
  <c r="I276" i="13" s="1"/>
  <c r="A158" i="13"/>
  <c r="C158" i="13" s="1"/>
  <c r="A676" i="13"/>
  <c r="M676" i="13" s="1"/>
  <c r="C257" i="13"/>
  <c r="M176" i="13"/>
  <c r="A658" i="13"/>
  <c r="A659" i="13" s="1"/>
  <c r="A376" i="13"/>
  <c r="A377" i="13" s="1"/>
  <c r="A378" i="13" s="1"/>
  <c r="A379" i="13" s="1"/>
  <c r="A380" i="13" s="1"/>
  <c r="A381" i="13" s="1"/>
  <c r="A382" i="13" s="1"/>
  <c r="A383" i="13" s="1"/>
  <c r="A384" i="13" s="1"/>
  <c r="A385" i="13" s="1"/>
  <c r="A386" i="13" s="1"/>
  <c r="A758" i="13"/>
  <c r="C758" i="13" s="1"/>
  <c r="J776" i="13" s="1"/>
  <c r="J675" i="13"/>
  <c r="A776" i="13"/>
  <c r="M775" i="13"/>
  <c r="A557" i="13"/>
  <c r="A576" i="13"/>
  <c r="A577" i="13" s="1"/>
  <c r="M575" i="13"/>
  <c r="A476" i="13"/>
  <c r="M476" i="13" s="1"/>
  <c r="A457" i="13"/>
  <c r="J775" i="13"/>
  <c r="J375" i="13"/>
  <c r="A259" i="13"/>
  <c r="M276" i="13"/>
  <c r="A277" i="13"/>
  <c r="A178" i="13"/>
  <c r="M177" i="13"/>
  <c r="C58" i="13"/>
  <c r="A359" i="13"/>
  <c r="C358" i="13"/>
  <c r="J175" i="13"/>
  <c r="H75" i="13"/>
  <c r="I75" i="13" s="1"/>
  <c r="J75" i="13" s="1"/>
  <c r="H89" i="13"/>
  <c r="I89" i="13" s="1"/>
  <c r="H88" i="13"/>
  <c r="I88" i="13" s="1"/>
  <c r="H87" i="13"/>
  <c r="I87" i="13" s="1"/>
  <c r="H86" i="13"/>
  <c r="I86" i="13" s="1"/>
  <c r="H85" i="13"/>
  <c r="I85" i="13" s="1"/>
  <c r="H84" i="13"/>
  <c r="I84" i="13" s="1"/>
  <c r="H83" i="13"/>
  <c r="I83" i="13" s="1"/>
  <c r="H82" i="13"/>
  <c r="I82" i="13" s="1"/>
  <c r="H81" i="13"/>
  <c r="I81" i="13" s="1"/>
  <c r="H80" i="13"/>
  <c r="I80" i="13" s="1"/>
  <c r="H79" i="13"/>
  <c r="I79" i="13" s="1"/>
  <c r="H78" i="13"/>
  <c r="I78" i="13" s="1"/>
  <c r="H77" i="13"/>
  <c r="I77" i="13" s="1"/>
  <c r="H76" i="13"/>
  <c r="I76" i="13" s="1"/>
  <c r="M175" i="13"/>
  <c r="M4" i="8"/>
  <c r="M82" i="8" s="1"/>
  <c r="M5" i="8"/>
  <c r="M83" i="8" s="1"/>
  <c r="M6" i="8"/>
  <c r="M84" i="8" s="1"/>
  <c r="M7" i="8"/>
  <c r="M85" i="8" s="1"/>
  <c r="M8" i="8"/>
  <c r="M86" i="8" s="1"/>
  <c r="M9" i="8"/>
  <c r="M87" i="8" s="1"/>
  <c r="M10" i="8"/>
  <c r="M88" i="8" s="1"/>
  <c r="M11" i="8"/>
  <c r="M89" i="8" s="1"/>
  <c r="M12" i="8"/>
  <c r="M90" i="8" s="1"/>
  <c r="M13" i="8"/>
  <c r="M91" i="8" s="1"/>
  <c r="M14" i="8"/>
  <c r="M92" i="8" s="1"/>
  <c r="M15" i="8"/>
  <c r="M93" i="8" s="1"/>
  <c r="M16" i="8"/>
  <c r="M94" i="8" s="1"/>
  <c r="M17" i="8"/>
  <c r="M95" i="8" s="1"/>
  <c r="M18" i="8"/>
  <c r="M96" i="8" s="1"/>
  <c r="M3" i="8"/>
  <c r="M81" i="8" s="1"/>
  <c r="M48" i="8" l="1"/>
  <c r="M56" i="8"/>
  <c r="M58" i="8"/>
  <c r="M50" i="8"/>
  <c r="M57" i="8"/>
  <c r="M43" i="8"/>
  <c r="M47" i="8"/>
  <c r="M45" i="8"/>
  <c r="M51" i="8"/>
  <c r="J376" i="13"/>
  <c r="J176" i="13"/>
  <c r="M46" i="8"/>
  <c r="M54" i="8"/>
  <c r="M55" i="8"/>
  <c r="M49" i="8"/>
  <c r="M53" i="8"/>
  <c r="A477" i="13"/>
  <c r="M477" i="13" s="1"/>
  <c r="A159" i="13"/>
  <c r="C159" i="13" s="1"/>
  <c r="J177" i="13" s="1"/>
  <c r="M376" i="13"/>
  <c r="M377" i="13"/>
  <c r="M379" i="13"/>
  <c r="A677" i="13"/>
  <c r="M677" i="13" s="1"/>
  <c r="M385" i="13"/>
  <c r="M384" i="13"/>
  <c r="M381" i="13"/>
  <c r="M380" i="13"/>
  <c r="M382" i="13"/>
  <c r="J76" i="13"/>
  <c r="C658" i="13"/>
  <c r="J275" i="13"/>
  <c r="C258" i="13"/>
  <c r="C259" i="13" s="1"/>
  <c r="J277" i="13" s="1"/>
  <c r="M383" i="13"/>
  <c r="A759" i="13"/>
  <c r="C759" i="13" s="1"/>
  <c r="J777" i="13" s="1"/>
  <c r="M378" i="13"/>
  <c r="M576" i="13"/>
  <c r="A387" i="13"/>
  <c r="M386" i="13"/>
  <c r="A558" i="13"/>
  <c r="C557" i="13"/>
  <c r="A458" i="13"/>
  <c r="C457" i="13"/>
  <c r="A578" i="13"/>
  <c r="M577" i="13"/>
  <c r="A777" i="13"/>
  <c r="M776" i="13"/>
  <c r="A678" i="13"/>
  <c r="M277" i="13"/>
  <c r="A278" i="13"/>
  <c r="A260" i="13"/>
  <c r="A179" i="13"/>
  <c r="M178" i="13"/>
  <c r="C59" i="13"/>
  <c r="C60" i="13" s="1"/>
  <c r="C61" i="13" s="1"/>
  <c r="C62" i="13" s="1"/>
  <c r="C63" i="13" s="1"/>
  <c r="C64" i="13" s="1"/>
  <c r="C65" i="13" s="1"/>
  <c r="C66" i="13" s="1"/>
  <c r="C67" i="13" s="1"/>
  <c r="C68" i="13" s="1"/>
  <c r="C69" i="13" s="1"/>
  <c r="C70" i="13" s="1"/>
  <c r="A660" i="13"/>
  <c r="C359" i="13"/>
  <c r="J377" i="13" s="1"/>
  <c r="A360" i="13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31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1" i="5"/>
  <c r="B10" i="5"/>
  <c r="B9" i="5"/>
  <c r="B8" i="5"/>
  <c r="B7" i="5"/>
  <c r="B6" i="5"/>
  <c r="B5" i="5"/>
  <c r="B11" i="1"/>
  <c r="A160" i="13" l="1"/>
  <c r="D5" i="5"/>
  <c r="M5" i="5" s="1"/>
  <c r="H5" i="5"/>
  <c r="Q5" i="5" s="1"/>
  <c r="E5" i="5"/>
  <c r="N5" i="5" s="1"/>
  <c r="I5" i="5"/>
  <c r="R5" i="5" s="1"/>
  <c r="J5" i="5"/>
  <c r="S5" i="5" s="1"/>
  <c r="G5" i="5"/>
  <c r="P5" i="5" s="1"/>
  <c r="K5" i="5"/>
  <c r="T5" i="5" s="1"/>
  <c r="F5" i="5"/>
  <c r="O5" i="5" s="1"/>
  <c r="G37" i="5"/>
  <c r="K37" i="5"/>
  <c r="D37" i="5"/>
  <c r="B81" i="13" s="1"/>
  <c r="H37" i="5"/>
  <c r="Q37" i="5" s="1"/>
  <c r="E37" i="5"/>
  <c r="F37" i="5"/>
  <c r="J37" i="5"/>
  <c r="S37" i="5" s="1"/>
  <c r="I37" i="5"/>
  <c r="B581" i="13" s="1"/>
  <c r="B5" i="13"/>
  <c r="D6" i="5"/>
  <c r="M6" i="5" s="1"/>
  <c r="H6" i="5"/>
  <c r="Q6" i="5" s="1"/>
  <c r="E6" i="5"/>
  <c r="N6" i="5" s="1"/>
  <c r="I6" i="5"/>
  <c r="R6" i="5" s="1"/>
  <c r="J6" i="5"/>
  <c r="S6" i="5" s="1"/>
  <c r="K6" i="5"/>
  <c r="T6" i="5" s="1"/>
  <c r="F6" i="5"/>
  <c r="O6" i="5" s="1"/>
  <c r="G6" i="5"/>
  <c r="P6" i="5" s="1"/>
  <c r="D10" i="5"/>
  <c r="M10" i="5" s="1"/>
  <c r="H10" i="5"/>
  <c r="Q10" i="5" s="1"/>
  <c r="E10" i="5"/>
  <c r="N10" i="5" s="1"/>
  <c r="I10" i="5"/>
  <c r="R10" i="5" s="1"/>
  <c r="J10" i="5"/>
  <c r="S10" i="5" s="1"/>
  <c r="K10" i="5"/>
  <c r="T10" i="5" s="1"/>
  <c r="F10" i="5"/>
  <c r="O10" i="5" s="1"/>
  <c r="G10" i="5"/>
  <c r="P10" i="5" s="1"/>
  <c r="D16" i="5"/>
  <c r="M16" i="5" s="1"/>
  <c r="H16" i="5"/>
  <c r="Q16" i="5" s="1"/>
  <c r="E16" i="5"/>
  <c r="N16" i="5" s="1"/>
  <c r="I16" i="5"/>
  <c r="R16" i="5" s="1"/>
  <c r="J16" i="5"/>
  <c r="S16" i="5" s="1"/>
  <c r="F16" i="5"/>
  <c r="O16" i="5" s="1"/>
  <c r="G16" i="5"/>
  <c r="P16" i="5" s="1"/>
  <c r="K16" i="5"/>
  <c r="T16" i="5" s="1"/>
  <c r="D20" i="5"/>
  <c r="M20" i="5" s="1"/>
  <c r="H20" i="5"/>
  <c r="Q20" i="5" s="1"/>
  <c r="E20" i="5"/>
  <c r="N20" i="5" s="1"/>
  <c r="I20" i="5"/>
  <c r="R20" i="5" s="1"/>
  <c r="K20" i="5"/>
  <c r="T20" i="5" s="1"/>
  <c r="F20" i="5"/>
  <c r="O20" i="5" s="1"/>
  <c r="G20" i="5"/>
  <c r="P20" i="5" s="1"/>
  <c r="J20" i="5"/>
  <c r="S20" i="5" s="1"/>
  <c r="E24" i="5"/>
  <c r="N24" i="5" s="1"/>
  <c r="I24" i="5"/>
  <c r="R24" i="5" s="1"/>
  <c r="F24" i="5"/>
  <c r="O24" i="5" s="1"/>
  <c r="K24" i="5"/>
  <c r="T24" i="5" s="1"/>
  <c r="D24" i="5"/>
  <c r="M24" i="5" s="1"/>
  <c r="G24" i="5"/>
  <c r="P24" i="5" s="1"/>
  <c r="H24" i="5"/>
  <c r="Q24" i="5" s="1"/>
  <c r="J24" i="5"/>
  <c r="S24" i="5" s="1"/>
  <c r="E28" i="5"/>
  <c r="N28" i="5" s="1"/>
  <c r="I28" i="5"/>
  <c r="R28" i="5" s="1"/>
  <c r="F28" i="5"/>
  <c r="O28" i="5" s="1"/>
  <c r="K28" i="5"/>
  <c r="T28" i="5" s="1"/>
  <c r="D28" i="5"/>
  <c r="M28" i="5" s="1"/>
  <c r="G28" i="5"/>
  <c r="P28" i="5" s="1"/>
  <c r="H28" i="5"/>
  <c r="Q28" i="5" s="1"/>
  <c r="J28" i="5"/>
  <c r="S28" i="5" s="1"/>
  <c r="G44" i="5"/>
  <c r="B388" i="13" s="1"/>
  <c r="K44" i="5"/>
  <c r="T44" i="5" s="1"/>
  <c r="D44" i="5"/>
  <c r="B88" i="13" s="1"/>
  <c r="H44" i="5"/>
  <c r="E44" i="5"/>
  <c r="N44" i="5" s="1"/>
  <c r="F44" i="5"/>
  <c r="O44" i="5" s="1"/>
  <c r="I44" i="5"/>
  <c r="J44" i="5"/>
  <c r="G40" i="5"/>
  <c r="B384" i="13" s="1"/>
  <c r="L384" i="13" s="1"/>
  <c r="K40" i="5"/>
  <c r="T40" i="5" s="1"/>
  <c r="D40" i="5"/>
  <c r="B84" i="13" s="1"/>
  <c r="H40" i="5"/>
  <c r="E40" i="5"/>
  <c r="B184" i="13" s="1"/>
  <c r="F40" i="5"/>
  <c r="O40" i="5" s="1"/>
  <c r="I40" i="5"/>
  <c r="J40" i="5"/>
  <c r="S40" i="5" s="1"/>
  <c r="G36" i="5"/>
  <c r="B380" i="13" s="1"/>
  <c r="L380" i="13" s="1"/>
  <c r="K36" i="5"/>
  <c r="T36" i="5" s="1"/>
  <c r="D36" i="5"/>
  <c r="B80" i="13" s="1"/>
  <c r="H36" i="5"/>
  <c r="E36" i="5"/>
  <c r="N36" i="5" s="1"/>
  <c r="F36" i="5"/>
  <c r="O36" i="5" s="1"/>
  <c r="I36" i="5"/>
  <c r="J36" i="5"/>
  <c r="G32" i="5"/>
  <c r="P32" i="5" s="1"/>
  <c r="K32" i="5"/>
  <c r="B776" i="13" s="1"/>
  <c r="L776" i="13" s="1"/>
  <c r="D32" i="5"/>
  <c r="B76" i="13" s="1"/>
  <c r="H32" i="5"/>
  <c r="E32" i="5"/>
  <c r="N32" i="5" s="1"/>
  <c r="F32" i="5"/>
  <c r="O32" i="5" s="1"/>
  <c r="I32" i="5"/>
  <c r="J32" i="5"/>
  <c r="D15" i="5"/>
  <c r="M15" i="5" s="1"/>
  <c r="H15" i="5"/>
  <c r="Q15" i="5" s="1"/>
  <c r="E15" i="5"/>
  <c r="N15" i="5" s="1"/>
  <c r="I15" i="5"/>
  <c r="R15" i="5" s="1"/>
  <c r="J15" i="5"/>
  <c r="S15" i="5" s="1"/>
  <c r="G15" i="5"/>
  <c r="P15" i="5" s="1"/>
  <c r="K15" i="5"/>
  <c r="T15" i="5" s="1"/>
  <c r="F15" i="5"/>
  <c r="O15" i="5" s="1"/>
  <c r="B143" i="13"/>
  <c r="E27" i="5"/>
  <c r="N27" i="5" s="1"/>
  <c r="I27" i="5"/>
  <c r="R27" i="5" s="1"/>
  <c r="H27" i="5"/>
  <c r="Q27" i="5" s="1"/>
  <c r="K27" i="5"/>
  <c r="T27" i="5" s="1"/>
  <c r="D27" i="5"/>
  <c r="M27" i="5" s="1"/>
  <c r="J27" i="5"/>
  <c r="S27" i="5" s="1"/>
  <c r="F27" i="5"/>
  <c r="O27" i="5" s="1"/>
  <c r="G27" i="5"/>
  <c r="P27" i="5" s="1"/>
  <c r="G45" i="5"/>
  <c r="P45" i="5" s="1"/>
  <c r="K45" i="5"/>
  <c r="D45" i="5"/>
  <c r="B89" i="13" s="1"/>
  <c r="H45" i="5"/>
  <c r="Q45" i="5" s="1"/>
  <c r="E45" i="5"/>
  <c r="N45" i="5" s="1"/>
  <c r="J45" i="5"/>
  <c r="I45" i="5"/>
  <c r="F45" i="5"/>
  <c r="B289" i="13" s="1"/>
  <c r="G33" i="5"/>
  <c r="B377" i="13" s="1"/>
  <c r="L377" i="13" s="1"/>
  <c r="K33" i="5"/>
  <c r="D33" i="5"/>
  <c r="B77" i="13" s="1"/>
  <c r="H33" i="5"/>
  <c r="Q33" i="5" s="1"/>
  <c r="E33" i="5"/>
  <c r="N33" i="5" s="1"/>
  <c r="F33" i="5"/>
  <c r="J33" i="5"/>
  <c r="I33" i="5"/>
  <c r="R33" i="5" s="1"/>
  <c r="D11" i="5"/>
  <c r="H11" i="5"/>
  <c r="E11" i="5"/>
  <c r="I11" i="5"/>
  <c r="R11" i="5" s="1"/>
  <c r="J11" i="5"/>
  <c r="F11" i="5"/>
  <c r="G11" i="5"/>
  <c r="K11" i="5"/>
  <c r="T11" i="5" s="1"/>
  <c r="E21" i="5"/>
  <c r="N21" i="5" s="1"/>
  <c r="I21" i="5"/>
  <c r="R21" i="5" s="1"/>
  <c r="H21" i="5"/>
  <c r="Q21" i="5" s="1"/>
  <c r="F21" i="5"/>
  <c r="O21" i="5" s="1"/>
  <c r="G21" i="5"/>
  <c r="P21" i="5" s="1"/>
  <c r="D21" i="5"/>
  <c r="M21" i="5" s="1"/>
  <c r="J21" i="5"/>
  <c r="S21" i="5" s="1"/>
  <c r="K21" i="5"/>
  <c r="T21" i="5" s="1"/>
  <c r="E29" i="5"/>
  <c r="N29" i="5" s="1"/>
  <c r="I29" i="5"/>
  <c r="R29" i="5" s="1"/>
  <c r="H29" i="5"/>
  <c r="Q29" i="5" s="1"/>
  <c r="F29" i="5"/>
  <c r="O29" i="5" s="1"/>
  <c r="G29" i="5"/>
  <c r="P29" i="5" s="1"/>
  <c r="D29" i="5"/>
  <c r="M29" i="5" s="1"/>
  <c r="J29" i="5"/>
  <c r="S29" i="5" s="1"/>
  <c r="K29" i="5"/>
  <c r="T29" i="5" s="1"/>
  <c r="G39" i="5"/>
  <c r="P39" i="5" s="1"/>
  <c r="K39" i="5"/>
  <c r="D39" i="5"/>
  <c r="B83" i="13" s="1"/>
  <c r="H39" i="5"/>
  <c r="Q39" i="5" s="1"/>
  <c r="E39" i="5"/>
  <c r="N39" i="5" s="1"/>
  <c r="F39" i="5"/>
  <c r="I39" i="5"/>
  <c r="R39" i="5" s="1"/>
  <c r="J39" i="5"/>
  <c r="B683" i="13" s="1"/>
  <c r="J676" i="13"/>
  <c r="D9" i="5"/>
  <c r="M9" i="5" s="1"/>
  <c r="H9" i="5"/>
  <c r="Q9" i="5" s="1"/>
  <c r="E9" i="5"/>
  <c r="N9" i="5" s="1"/>
  <c r="I9" i="5"/>
  <c r="R9" i="5" s="1"/>
  <c r="J9" i="5"/>
  <c r="S9" i="5" s="1"/>
  <c r="G9" i="5"/>
  <c r="P9" i="5" s="1"/>
  <c r="K9" i="5"/>
  <c r="T9" i="5" s="1"/>
  <c r="F9" i="5"/>
  <c r="O9" i="5" s="1"/>
  <c r="E23" i="5"/>
  <c r="N23" i="5" s="1"/>
  <c r="I23" i="5"/>
  <c r="R23" i="5" s="1"/>
  <c r="H23" i="5"/>
  <c r="Q23" i="5" s="1"/>
  <c r="K23" i="5"/>
  <c r="T23" i="5" s="1"/>
  <c r="D23" i="5"/>
  <c r="M23" i="5" s="1"/>
  <c r="J23" i="5"/>
  <c r="S23" i="5" s="1"/>
  <c r="F23" i="5"/>
  <c r="O23" i="5" s="1"/>
  <c r="G23" i="5"/>
  <c r="P23" i="5" s="1"/>
  <c r="G41" i="5"/>
  <c r="K41" i="5"/>
  <c r="D41" i="5"/>
  <c r="B85" i="13" s="1"/>
  <c r="H41" i="5"/>
  <c r="Q41" i="5" s="1"/>
  <c r="E41" i="5"/>
  <c r="F41" i="5"/>
  <c r="J41" i="5"/>
  <c r="S41" i="5" s="1"/>
  <c r="I41" i="5"/>
  <c r="R41" i="5" s="1"/>
  <c r="D7" i="5"/>
  <c r="M7" i="5" s="1"/>
  <c r="H7" i="5"/>
  <c r="Q7" i="5" s="1"/>
  <c r="E7" i="5"/>
  <c r="N7" i="5" s="1"/>
  <c r="I7" i="5"/>
  <c r="R7" i="5" s="1"/>
  <c r="J7" i="5"/>
  <c r="S7" i="5" s="1"/>
  <c r="F7" i="5"/>
  <c r="O7" i="5" s="1"/>
  <c r="G7" i="5"/>
  <c r="P7" i="5" s="1"/>
  <c r="K7" i="5"/>
  <c r="T7" i="5" s="1"/>
  <c r="D17" i="5"/>
  <c r="M17" i="5" s="1"/>
  <c r="H17" i="5"/>
  <c r="Q17" i="5" s="1"/>
  <c r="E17" i="5"/>
  <c r="N17" i="5" s="1"/>
  <c r="I17" i="5"/>
  <c r="R17" i="5" s="1"/>
  <c r="J17" i="5"/>
  <c r="S17" i="5" s="1"/>
  <c r="G17" i="5"/>
  <c r="P17" i="5" s="1"/>
  <c r="K17" i="5"/>
  <c r="T17" i="5" s="1"/>
  <c r="F17" i="5"/>
  <c r="O17" i="5" s="1"/>
  <c r="E25" i="5"/>
  <c r="N25" i="5" s="1"/>
  <c r="I25" i="5"/>
  <c r="R25" i="5" s="1"/>
  <c r="H25" i="5"/>
  <c r="Q25" i="5" s="1"/>
  <c r="F25" i="5"/>
  <c r="O25" i="5" s="1"/>
  <c r="G25" i="5"/>
  <c r="P25" i="5" s="1"/>
  <c r="D25" i="5"/>
  <c r="M25" i="5" s="1"/>
  <c r="J25" i="5"/>
  <c r="S25" i="5" s="1"/>
  <c r="K25" i="5"/>
  <c r="T25" i="5" s="1"/>
  <c r="G43" i="5"/>
  <c r="K43" i="5"/>
  <c r="T43" i="5" s="1"/>
  <c r="D43" i="5"/>
  <c r="B87" i="13" s="1"/>
  <c r="H43" i="5"/>
  <c r="Q43" i="5" s="1"/>
  <c r="E43" i="5"/>
  <c r="F43" i="5"/>
  <c r="I43" i="5"/>
  <c r="R43" i="5" s="1"/>
  <c r="J43" i="5"/>
  <c r="S43" i="5" s="1"/>
  <c r="G35" i="5"/>
  <c r="B379" i="13" s="1"/>
  <c r="L379" i="13" s="1"/>
  <c r="K35" i="5"/>
  <c r="T35" i="5" s="1"/>
  <c r="D35" i="5"/>
  <c r="B79" i="13" s="1"/>
  <c r="H35" i="5"/>
  <c r="Q35" i="5" s="1"/>
  <c r="E35" i="5"/>
  <c r="F35" i="5"/>
  <c r="O35" i="5" s="1"/>
  <c r="I35" i="5"/>
  <c r="B579" i="13" s="1"/>
  <c r="J35" i="5"/>
  <c r="S35" i="5" s="1"/>
  <c r="D8" i="5"/>
  <c r="M8" i="5" s="1"/>
  <c r="H8" i="5"/>
  <c r="Q8" i="5" s="1"/>
  <c r="E8" i="5"/>
  <c r="N8" i="5" s="1"/>
  <c r="I8" i="5"/>
  <c r="R8" i="5" s="1"/>
  <c r="J8" i="5"/>
  <c r="S8" i="5" s="1"/>
  <c r="F8" i="5"/>
  <c r="O8" i="5" s="1"/>
  <c r="G8" i="5"/>
  <c r="P8" i="5" s="1"/>
  <c r="K8" i="5"/>
  <c r="T8" i="5" s="1"/>
  <c r="D14" i="5"/>
  <c r="M14" i="5" s="1"/>
  <c r="H14" i="5"/>
  <c r="Q14" i="5" s="1"/>
  <c r="E14" i="5"/>
  <c r="N14" i="5" s="1"/>
  <c r="I14" i="5"/>
  <c r="R14" i="5" s="1"/>
  <c r="J14" i="5"/>
  <c r="S14" i="5" s="1"/>
  <c r="K14" i="5"/>
  <c r="T14" i="5" s="1"/>
  <c r="F14" i="5"/>
  <c r="O14" i="5" s="1"/>
  <c r="G14" i="5"/>
  <c r="P14" i="5" s="1"/>
  <c r="D18" i="5"/>
  <c r="M18" i="5" s="1"/>
  <c r="H18" i="5"/>
  <c r="Q18" i="5" s="1"/>
  <c r="E18" i="5"/>
  <c r="N18" i="5" s="1"/>
  <c r="I18" i="5"/>
  <c r="R18" i="5" s="1"/>
  <c r="J18" i="5"/>
  <c r="S18" i="5" s="1"/>
  <c r="K18" i="5"/>
  <c r="T18" i="5" s="1"/>
  <c r="F18" i="5"/>
  <c r="O18" i="5" s="1"/>
  <c r="G18" i="5"/>
  <c r="P18" i="5" s="1"/>
  <c r="E22" i="5"/>
  <c r="N22" i="5" s="1"/>
  <c r="I22" i="5"/>
  <c r="R22" i="5" s="1"/>
  <c r="F22" i="5"/>
  <c r="O22" i="5" s="1"/>
  <c r="K22" i="5"/>
  <c r="T22" i="5" s="1"/>
  <c r="H22" i="5"/>
  <c r="Q22" i="5" s="1"/>
  <c r="J22" i="5"/>
  <c r="S22" i="5" s="1"/>
  <c r="G22" i="5"/>
  <c r="P22" i="5" s="1"/>
  <c r="D22" i="5"/>
  <c r="M22" i="5" s="1"/>
  <c r="E26" i="5"/>
  <c r="N26" i="5" s="1"/>
  <c r="I26" i="5"/>
  <c r="R26" i="5" s="1"/>
  <c r="F26" i="5"/>
  <c r="O26" i="5" s="1"/>
  <c r="K26" i="5"/>
  <c r="T26" i="5" s="1"/>
  <c r="H26" i="5"/>
  <c r="Q26" i="5" s="1"/>
  <c r="J26" i="5"/>
  <c r="S26" i="5" s="1"/>
  <c r="G26" i="5"/>
  <c r="P26" i="5" s="1"/>
  <c r="D26" i="5"/>
  <c r="M26" i="5" s="1"/>
  <c r="H31" i="5"/>
  <c r="Q31" i="5" s="1"/>
  <c r="E31" i="5"/>
  <c r="B175" i="13" s="1"/>
  <c r="L175" i="13" s="1"/>
  <c r="I31" i="5"/>
  <c r="R31" i="5" s="1"/>
  <c r="F31" i="5"/>
  <c r="O31" i="5" s="1"/>
  <c r="D31" i="5"/>
  <c r="B75" i="13" s="1"/>
  <c r="J31" i="5"/>
  <c r="B675" i="13" s="1"/>
  <c r="L675" i="13" s="1"/>
  <c r="G31" i="5"/>
  <c r="B375" i="13" s="1"/>
  <c r="L375" i="13" s="1"/>
  <c r="K31" i="5"/>
  <c r="T31" i="5" s="1"/>
  <c r="G42" i="5"/>
  <c r="P42" i="5" s="1"/>
  <c r="K42" i="5"/>
  <c r="T42" i="5" s="1"/>
  <c r="D42" i="5"/>
  <c r="B86" i="13" s="1"/>
  <c r="H42" i="5"/>
  <c r="E42" i="5"/>
  <c r="N42" i="5" s="1"/>
  <c r="F42" i="5"/>
  <c r="O42" i="5" s="1"/>
  <c r="I42" i="5"/>
  <c r="R42" i="5" s="1"/>
  <c r="J42" i="5"/>
  <c r="G38" i="5"/>
  <c r="P38" i="5" s="1"/>
  <c r="K38" i="5"/>
  <c r="B782" i="13" s="1"/>
  <c r="D38" i="5"/>
  <c r="B82" i="13" s="1"/>
  <c r="H38" i="5"/>
  <c r="Q38" i="5" s="1"/>
  <c r="E38" i="5"/>
  <c r="N38" i="5" s="1"/>
  <c r="F38" i="5"/>
  <c r="B282" i="13" s="1"/>
  <c r="I38" i="5"/>
  <c r="R38" i="5" s="1"/>
  <c r="J38" i="5"/>
  <c r="S38" i="5" s="1"/>
  <c r="G34" i="5"/>
  <c r="K34" i="5"/>
  <c r="T34" i="5" s="1"/>
  <c r="D34" i="5"/>
  <c r="B78" i="13" s="1"/>
  <c r="H34" i="5"/>
  <c r="Q34" i="5" s="1"/>
  <c r="E34" i="5"/>
  <c r="B178" i="13" s="1"/>
  <c r="L178" i="13" s="1"/>
  <c r="F34" i="5"/>
  <c r="I34" i="5"/>
  <c r="B578" i="13" s="1"/>
  <c r="L578" i="13" s="1"/>
  <c r="J34" i="5"/>
  <c r="S34" i="5" s="1"/>
  <c r="E19" i="5"/>
  <c r="N19" i="5" s="1"/>
  <c r="I19" i="5"/>
  <c r="R19" i="5" s="1"/>
  <c r="F19" i="5"/>
  <c r="O19" i="5" s="1"/>
  <c r="J19" i="5"/>
  <c r="S19" i="5" s="1"/>
  <c r="G19" i="5"/>
  <c r="P19" i="5" s="1"/>
  <c r="K19" i="5"/>
  <c r="T19" i="5" s="1"/>
  <c r="D19" i="5"/>
  <c r="M19" i="5" s="1"/>
  <c r="H19" i="5"/>
  <c r="Q19" i="5" s="1"/>
  <c r="J88" i="13"/>
  <c r="J89" i="13"/>
  <c r="A478" i="13"/>
  <c r="M478" i="13" s="1"/>
  <c r="C659" i="13"/>
  <c r="J677" i="13" s="1"/>
  <c r="N31" i="5"/>
  <c r="M31" i="5"/>
  <c r="O34" i="5"/>
  <c r="P34" i="5"/>
  <c r="N43" i="5"/>
  <c r="O43" i="5"/>
  <c r="P43" i="5"/>
  <c r="M39" i="5"/>
  <c r="O39" i="5"/>
  <c r="S39" i="5"/>
  <c r="T39" i="5"/>
  <c r="O38" i="5"/>
  <c r="M45" i="5"/>
  <c r="R45" i="5"/>
  <c r="S45" i="5"/>
  <c r="T45" i="5"/>
  <c r="N41" i="5"/>
  <c r="O41" i="5"/>
  <c r="T41" i="5"/>
  <c r="P41" i="5"/>
  <c r="M37" i="5"/>
  <c r="N37" i="5"/>
  <c r="O37" i="5"/>
  <c r="T37" i="5"/>
  <c r="P37" i="5"/>
  <c r="M33" i="5"/>
  <c r="O33" i="5"/>
  <c r="S33" i="5"/>
  <c r="T33" i="5"/>
  <c r="N35" i="5"/>
  <c r="P35" i="5"/>
  <c r="Q42" i="5"/>
  <c r="S42" i="5"/>
  <c r="M44" i="5"/>
  <c r="Q44" i="5"/>
  <c r="R44" i="5"/>
  <c r="S44" i="5"/>
  <c r="M40" i="5"/>
  <c r="Q40" i="5"/>
  <c r="R40" i="5"/>
  <c r="M36" i="5"/>
  <c r="Q36" i="5"/>
  <c r="R36" i="5"/>
  <c r="S36" i="5"/>
  <c r="P36" i="5"/>
  <c r="M32" i="5"/>
  <c r="Q32" i="5"/>
  <c r="R32" i="5"/>
  <c r="S32" i="5"/>
  <c r="O11" i="5"/>
  <c r="S11" i="5"/>
  <c r="P11" i="5"/>
  <c r="M11" i="5"/>
  <c r="Q11" i="5"/>
  <c r="N11" i="5"/>
  <c r="A760" i="13"/>
  <c r="A761" i="13" s="1"/>
  <c r="C160" i="13"/>
  <c r="J178" i="13" s="1"/>
  <c r="J276" i="13"/>
  <c r="J84" i="13"/>
  <c r="J79" i="13"/>
  <c r="J575" i="13"/>
  <c r="J85" i="13"/>
  <c r="A388" i="13"/>
  <c r="M387" i="13"/>
  <c r="A459" i="13"/>
  <c r="C558" i="13"/>
  <c r="M777" i="13"/>
  <c r="A778" i="13"/>
  <c r="A579" i="13"/>
  <c r="M578" i="13"/>
  <c r="A559" i="13"/>
  <c r="C458" i="13"/>
  <c r="J475" i="13"/>
  <c r="A679" i="13"/>
  <c r="M678" i="13"/>
  <c r="A261" i="13"/>
  <c r="C260" i="13"/>
  <c r="A279" i="13"/>
  <c r="M278" i="13"/>
  <c r="M179" i="13"/>
  <c r="A180" i="13"/>
  <c r="J81" i="13"/>
  <c r="J80" i="13"/>
  <c r="J86" i="13"/>
  <c r="J77" i="13"/>
  <c r="J87" i="13"/>
  <c r="J82" i="13"/>
  <c r="J83" i="13"/>
  <c r="J78" i="13"/>
  <c r="A661" i="13"/>
  <c r="A361" i="13"/>
  <c r="C360" i="13"/>
  <c r="J378" i="13" s="1"/>
  <c r="A161" i="13"/>
  <c r="B550" i="13"/>
  <c r="B120" i="13"/>
  <c r="B9" i="13"/>
  <c r="B309" i="13"/>
  <c r="B206" i="13"/>
  <c r="B604" i="13"/>
  <c r="B250" i="13"/>
  <c r="B43" i="13"/>
  <c r="B643" i="13"/>
  <c r="B443" i="13"/>
  <c r="B541" i="13"/>
  <c r="B633" i="13"/>
  <c r="B33" i="13"/>
  <c r="B333" i="13"/>
  <c r="B133" i="13"/>
  <c r="B531" i="13"/>
  <c r="B629" i="13"/>
  <c r="S656" i="13" s="1"/>
  <c r="B222" i="13"/>
  <c r="B422" i="13"/>
  <c r="B522" i="13"/>
  <c r="B506" i="13"/>
  <c r="B706" i="13"/>
  <c r="B304" i="13"/>
  <c r="B4" i="13"/>
  <c r="B141" i="13"/>
  <c r="B220" i="13"/>
  <c r="B341" i="13"/>
  <c r="B322" i="13"/>
  <c r="B408" i="13"/>
  <c r="B533" i="13"/>
  <c r="B520" i="13"/>
  <c r="B631" i="13"/>
  <c r="B733" i="13"/>
  <c r="B720" i="13"/>
  <c r="B41" i="13"/>
  <c r="B22" i="13"/>
  <c r="B6" i="13"/>
  <c r="B588" i="13"/>
  <c r="B686" i="13"/>
  <c r="B131" i="13"/>
  <c r="B243" i="13"/>
  <c r="B331" i="13"/>
  <c r="B543" i="13"/>
  <c r="B622" i="13"/>
  <c r="B606" i="13"/>
  <c r="B50" i="13"/>
  <c r="B31" i="13"/>
  <c r="B432" i="13"/>
  <c r="B187" i="13"/>
  <c r="B179" i="13"/>
  <c r="L179" i="13" s="1"/>
  <c r="B130" i="13"/>
  <c r="B110" i="13"/>
  <c r="B105" i="13"/>
  <c r="B283" i="13"/>
  <c r="B208" i="13"/>
  <c r="B386" i="13"/>
  <c r="L386" i="13" s="1"/>
  <c r="B330" i="13"/>
  <c r="B310" i="13"/>
  <c r="B305" i="13"/>
  <c r="B431" i="13"/>
  <c r="B409" i="13"/>
  <c r="B404" i="13"/>
  <c r="B523" i="13"/>
  <c r="B647" i="13"/>
  <c r="B640" i="13"/>
  <c r="B610" i="13"/>
  <c r="B605" i="13"/>
  <c r="B742" i="13"/>
  <c r="B732" i="13"/>
  <c r="B719" i="13"/>
  <c r="B442" i="13"/>
  <c r="B430" i="13"/>
  <c r="B42" i="13"/>
  <c r="B32" i="13"/>
  <c r="B23" i="13"/>
  <c r="B19" i="13"/>
  <c r="B8" i="13"/>
  <c r="B440" i="13"/>
  <c r="B419" i="13"/>
  <c r="B142" i="13"/>
  <c r="B132" i="13"/>
  <c r="B247" i="13"/>
  <c r="B230" i="13"/>
  <c r="B210" i="13"/>
  <c r="B378" i="13"/>
  <c r="L378" i="13" s="1"/>
  <c r="B342" i="13"/>
  <c r="B323" i="13"/>
  <c r="B530" i="13"/>
  <c r="B521" i="13"/>
  <c r="B510" i="13"/>
  <c r="B505" i="13"/>
  <c r="B623" i="13"/>
  <c r="B619" i="13"/>
  <c r="B608" i="13"/>
  <c r="B747" i="13"/>
  <c r="B740" i="13"/>
  <c r="B730" i="13"/>
  <c r="B721" i="13"/>
  <c r="B447" i="13"/>
  <c r="B381" i="13"/>
  <c r="L381" i="13" s="1"/>
  <c r="B488" i="13"/>
  <c r="B476" i="13"/>
  <c r="L476" i="13" s="1"/>
  <c r="B486" i="13"/>
  <c r="B589" i="13"/>
  <c r="B688" i="13"/>
  <c r="B680" i="13"/>
  <c r="B676" i="13"/>
  <c r="L676" i="13" s="1"/>
  <c r="B787" i="13"/>
  <c r="B783" i="13"/>
  <c r="B385" i="13"/>
  <c r="L385" i="13" s="1"/>
  <c r="B484" i="13"/>
  <c r="B480" i="13"/>
  <c r="B285" i="13"/>
  <c r="B281" i="13"/>
  <c r="B277" i="13"/>
  <c r="L277" i="13" s="1"/>
  <c r="B582" i="13"/>
  <c r="B689" i="13"/>
  <c r="B677" i="13"/>
  <c r="L677" i="13" s="1"/>
  <c r="B13" i="5"/>
  <c r="B483" i="13" l="1"/>
  <c r="B705" i="13"/>
  <c r="B123" i="13"/>
  <c r="B575" i="13"/>
  <c r="L575" i="13" s="1"/>
  <c r="B180" i="13"/>
  <c r="B104" i="13"/>
  <c r="O45" i="5"/>
  <c r="P31" i="5"/>
  <c r="B30" i="13"/>
  <c r="B242" i="13"/>
  <c r="B229" i="13"/>
  <c r="S256" i="13" s="1"/>
  <c r="S257" i="13" s="1"/>
  <c r="S258" i="13" s="1"/>
  <c r="B704" i="13"/>
  <c r="B707" i="13" s="1"/>
  <c r="B29" i="13"/>
  <c r="P44" i="5"/>
  <c r="M35" i="5"/>
  <c r="M41" i="5"/>
  <c r="M38" i="5"/>
  <c r="R34" i="5"/>
  <c r="B710" i="13"/>
  <c r="B147" i="13"/>
  <c r="B405" i="13"/>
  <c r="N40" i="5"/>
  <c r="M42" i="5"/>
  <c r="M43" i="5"/>
  <c r="M34" i="5"/>
  <c r="B223" i="13"/>
  <c r="S259" i="13"/>
  <c r="B508" i="13"/>
  <c r="B376" i="13"/>
  <c r="L376" i="13" s="1"/>
  <c r="P40" i="5"/>
  <c r="B684" i="13"/>
  <c r="P33" i="5"/>
  <c r="B389" i="13"/>
  <c r="B487" i="13"/>
  <c r="B687" i="13"/>
  <c r="B186" i="13"/>
  <c r="B585" i="13"/>
  <c r="B779" i="13"/>
  <c r="B279" i="13"/>
  <c r="B221" i="13"/>
  <c r="F216" i="13" s="1"/>
  <c r="B421" i="13"/>
  <c r="B320" i="13"/>
  <c r="B519" i="13"/>
  <c r="B319" i="13"/>
  <c r="B708" i="13"/>
  <c r="C760" i="13"/>
  <c r="J778" i="13" s="1"/>
  <c r="B350" i="13"/>
  <c r="B150" i="13"/>
  <c r="B750" i="13"/>
  <c r="B347" i="13"/>
  <c r="B241" i="13"/>
  <c r="B741" i="13"/>
  <c r="B744" i="13" s="1"/>
  <c r="B745" i="13" s="1"/>
  <c r="B540" i="13"/>
  <c r="B340" i="13"/>
  <c r="B140" i="13"/>
  <c r="B233" i="13"/>
  <c r="B235" i="13" s="1"/>
  <c r="B433" i="13"/>
  <c r="B332" i="13"/>
  <c r="B232" i="13"/>
  <c r="B321" i="13"/>
  <c r="F316" i="13" s="1"/>
  <c r="B121" i="13"/>
  <c r="B420" i="13"/>
  <c r="B509" i="13"/>
  <c r="B709" i="13"/>
  <c r="B711" i="13" s="1"/>
  <c r="B209" i="13"/>
  <c r="B211" i="13" s="1"/>
  <c r="B109" i="13"/>
  <c r="B308" i="13"/>
  <c r="B311" i="13" s="1"/>
  <c r="B306" i="13"/>
  <c r="B307" i="13" s="1"/>
  <c r="B504" i="13"/>
  <c r="B507" i="13" s="1"/>
  <c r="S657" i="13"/>
  <c r="S658" i="13" s="1"/>
  <c r="B21" i="13"/>
  <c r="D13" i="5"/>
  <c r="M13" i="5" s="1"/>
  <c r="H13" i="5"/>
  <c r="Q13" i="5" s="1"/>
  <c r="E13" i="5"/>
  <c r="N13" i="5" s="1"/>
  <c r="I13" i="5"/>
  <c r="R13" i="5" s="1"/>
  <c r="J13" i="5"/>
  <c r="S13" i="5" s="1"/>
  <c r="G13" i="5"/>
  <c r="P13" i="5" s="1"/>
  <c r="F13" i="5"/>
  <c r="O13" i="5" s="1"/>
  <c r="K13" i="5"/>
  <c r="T13" i="5" s="1"/>
  <c r="B786" i="13"/>
  <c r="B108" i="13"/>
  <c r="B532" i="13"/>
  <c r="S56" i="13"/>
  <c r="S57" i="13" s="1"/>
  <c r="S58" i="13" s="1"/>
  <c r="S59" i="13" s="1"/>
  <c r="S60" i="13" s="1"/>
  <c r="S61" i="13" s="1"/>
  <c r="S62" i="13" s="1"/>
  <c r="S63" i="13" s="1"/>
  <c r="S64" i="13" s="1"/>
  <c r="S65" i="13" s="1"/>
  <c r="S66" i="13" s="1"/>
  <c r="S67" i="13" s="1"/>
  <c r="S68" i="13" s="1"/>
  <c r="S69" i="13" s="1"/>
  <c r="S70" i="13" s="1"/>
  <c r="B788" i="13"/>
  <c r="T32" i="5"/>
  <c r="R35" i="5"/>
  <c r="R37" i="5"/>
  <c r="T38" i="5"/>
  <c r="B489" i="13"/>
  <c r="B577" i="13"/>
  <c r="L577" i="13" s="1"/>
  <c r="B642" i="13"/>
  <c r="B547" i="13"/>
  <c r="B205" i="13"/>
  <c r="B240" i="13"/>
  <c r="B248" i="13" s="1"/>
  <c r="B119" i="13"/>
  <c r="B778" i="13"/>
  <c r="L778" i="13" s="1"/>
  <c r="B630" i="13"/>
  <c r="B542" i="13"/>
  <c r="B544" i="13" s="1"/>
  <c r="B545" i="13" s="1"/>
  <c r="B641" i="13"/>
  <c r="B106" i="13"/>
  <c r="B107" i="13" s="1"/>
  <c r="B722" i="13"/>
  <c r="B329" i="13"/>
  <c r="B731" i="13"/>
  <c r="B609" i="13"/>
  <c r="B611" i="13" s="1"/>
  <c r="N34" i="5"/>
  <c r="B423" i="13"/>
  <c r="B47" i="13"/>
  <c r="B10" i="13"/>
  <c r="B11" i="13" s="1"/>
  <c r="B481" i="13"/>
  <c r="B485" i="13"/>
  <c r="B632" i="13"/>
  <c r="B621" i="13"/>
  <c r="B624" i="13" s="1"/>
  <c r="B441" i="13"/>
  <c r="B231" i="13"/>
  <c r="B20" i="13"/>
  <c r="B620" i="13"/>
  <c r="B634" i="13" s="1"/>
  <c r="S31" i="5"/>
  <c r="B723" i="13"/>
  <c r="B726" i="13" s="1"/>
  <c r="B219" i="13"/>
  <c r="B410" i="13"/>
  <c r="B411" i="13" s="1"/>
  <c r="B743" i="13"/>
  <c r="B650" i="13"/>
  <c r="B204" i="13"/>
  <c r="B122" i="13"/>
  <c r="B129" i="13"/>
  <c r="B343" i="13"/>
  <c r="B344" i="13" s="1"/>
  <c r="B345" i="13" s="1"/>
  <c r="P376" i="13" s="1"/>
  <c r="B406" i="13"/>
  <c r="B407" i="13" s="1"/>
  <c r="B450" i="13"/>
  <c r="B40" i="13"/>
  <c r="B729" i="13"/>
  <c r="S756" i="13" s="1"/>
  <c r="S757" i="13" s="1"/>
  <c r="S758" i="13" s="1"/>
  <c r="S759" i="13" s="1"/>
  <c r="B429" i="13"/>
  <c r="B529" i="13"/>
  <c r="A479" i="13"/>
  <c r="A480" i="13" s="1"/>
  <c r="B682" i="13"/>
  <c r="B681" i="13"/>
  <c r="B775" i="13"/>
  <c r="L775" i="13" s="1"/>
  <c r="B482" i="13"/>
  <c r="B387" i="13"/>
  <c r="L387" i="13" s="1"/>
  <c r="B584" i="13"/>
  <c r="B576" i="13"/>
  <c r="L576" i="13" s="1"/>
  <c r="B278" i="13"/>
  <c r="L278" i="13" s="1"/>
  <c r="B685" i="13"/>
  <c r="B586" i="13"/>
  <c r="B477" i="13"/>
  <c r="L477" i="13" s="1"/>
  <c r="B587" i="13"/>
  <c r="B183" i="13"/>
  <c r="B188" i="13"/>
  <c r="B580" i="13"/>
  <c r="B780" i="13"/>
  <c r="B176" i="13"/>
  <c r="L176" i="13" s="1"/>
  <c r="B479" i="13"/>
  <c r="B182" i="13"/>
  <c r="B288" i="13"/>
  <c r="B189" i="13"/>
  <c r="B16" i="13"/>
  <c r="B64" i="13" s="1"/>
  <c r="B616" i="13"/>
  <c r="B660" i="13" s="1"/>
  <c r="B216" i="13"/>
  <c r="B258" i="13" s="1"/>
  <c r="C660" i="13"/>
  <c r="J678" i="13" s="1"/>
  <c r="B144" i="13"/>
  <c r="B145" i="13" s="1"/>
  <c r="P178" i="13" s="1"/>
  <c r="B276" i="13"/>
  <c r="L276" i="13" s="1"/>
  <c r="B177" i="13"/>
  <c r="L177" i="13" s="1"/>
  <c r="B777" i="13"/>
  <c r="L777" i="13" s="1"/>
  <c r="B287" i="13"/>
  <c r="B286" i="13"/>
  <c r="B678" i="13"/>
  <c r="L678" i="13" s="1"/>
  <c r="B382" i="13"/>
  <c r="L382" i="13" s="1"/>
  <c r="B781" i="13"/>
  <c r="B478" i="13"/>
  <c r="L478" i="13" s="1"/>
  <c r="B280" i="13"/>
  <c r="B181" i="13"/>
  <c r="B785" i="13"/>
  <c r="B475" i="13"/>
  <c r="L475" i="13" s="1"/>
  <c r="B789" i="13"/>
  <c r="B383" i="13"/>
  <c r="L383" i="13" s="1"/>
  <c r="B284" i="13"/>
  <c r="B185" i="13"/>
  <c r="B679" i="13"/>
  <c r="L679" i="13" s="1"/>
  <c r="B583" i="13"/>
  <c r="B275" i="13"/>
  <c r="L275" i="13" s="1"/>
  <c r="B784" i="13"/>
  <c r="B716" i="13"/>
  <c r="B757" i="13" s="1"/>
  <c r="B116" i="13"/>
  <c r="B416" i="13"/>
  <c r="B458" i="13" s="1"/>
  <c r="B316" i="13"/>
  <c r="B358" i="13" s="1"/>
  <c r="B516" i="13"/>
  <c r="B558" i="13" s="1"/>
  <c r="B444" i="13"/>
  <c r="B445" i="13" s="1"/>
  <c r="P476" i="13" s="1"/>
  <c r="B244" i="13"/>
  <c r="B435" i="13"/>
  <c r="A389" i="13"/>
  <c r="M389" i="13" s="1"/>
  <c r="M388" i="13"/>
  <c r="L388" i="13"/>
  <c r="B635" i="13"/>
  <c r="B735" i="13"/>
  <c r="B648" i="13"/>
  <c r="Q676" i="13" s="1"/>
  <c r="B34" i="13"/>
  <c r="B207" i="13"/>
  <c r="B35" i="13"/>
  <c r="B535" i="13"/>
  <c r="B348" i="13"/>
  <c r="Q386" i="13" s="1"/>
  <c r="F517" i="13"/>
  <c r="F516" i="13"/>
  <c r="B724" i="13"/>
  <c r="A779" i="13"/>
  <c r="M778" i="13"/>
  <c r="J576" i="13"/>
  <c r="C559" i="13"/>
  <c r="A460" i="13"/>
  <c r="B734" i="13"/>
  <c r="B748" i="13"/>
  <c r="B335" i="13"/>
  <c r="B44" i="13"/>
  <c r="F317" i="13"/>
  <c r="F416" i="13"/>
  <c r="B134" i="13"/>
  <c r="B234" i="13"/>
  <c r="B607" i="13"/>
  <c r="F717" i="13"/>
  <c r="B725" i="13"/>
  <c r="F716" i="13"/>
  <c r="B324" i="13"/>
  <c r="B448" i="13"/>
  <c r="B644" i="13"/>
  <c r="B645" i="13" s="1"/>
  <c r="B548" i="13"/>
  <c r="B135" i="13"/>
  <c r="F617" i="13"/>
  <c r="F117" i="13"/>
  <c r="B7" i="13"/>
  <c r="B657" i="13"/>
  <c r="B525" i="13"/>
  <c r="B524" i="13"/>
  <c r="B526" i="13"/>
  <c r="B224" i="13"/>
  <c r="J476" i="13"/>
  <c r="C459" i="13"/>
  <c r="A560" i="13"/>
  <c r="A580" i="13"/>
  <c r="M579" i="13"/>
  <c r="L579" i="13"/>
  <c r="A680" i="13"/>
  <c r="M679" i="13"/>
  <c r="M479" i="13"/>
  <c r="L279" i="13"/>
  <c r="A280" i="13"/>
  <c r="M279" i="13"/>
  <c r="J278" i="13"/>
  <c r="C261" i="13"/>
  <c r="S260" i="13" s="1"/>
  <c r="A262" i="13"/>
  <c r="A181" i="13"/>
  <c r="L180" i="13"/>
  <c r="M180" i="13"/>
  <c r="B60" i="13"/>
  <c r="B157" i="13"/>
  <c r="A762" i="13"/>
  <c r="A662" i="13"/>
  <c r="C361" i="13"/>
  <c r="J379" i="13" s="1"/>
  <c r="A362" i="13"/>
  <c r="A162" i="13"/>
  <c r="C161" i="13"/>
  <c r="B218" i="13"/>
  <c r="B518" i="13"/>
  <c r="B618" i="13"/>
  <c r="H18" i="4"/>
  <c r="I18" i="4" s="1"/>
  <c r="H17" i="4"/>
  <c r="I17" i="4" s="1"/>
  <c r="H16" i="4"/>
  <c r="I16" i="4" s="1"/>
  <c r="H15" i="4"/>
  <c r="I15" i="4" s="1"/>
  <c r="H14" i="4"/>
  <c r="I14" i="4" s="1"/>
  <c r="H13" i="4"/>
  <c r="I13" i="4" s="1"/>
  <c r="H12" i="4"/>
  <c r="I12" i="4" s="1"/>
  <c r="H11" i="4"/>
  <c r="I11" i="4" s="1"/>
  <c r="H10" i="4"/>
  <c r="I10" i="4" s="1"/>
  <c r="H9" i="4"/>
  <c r="I9" i="4" s="1"/>
  <c r="H8" i="4"/>
  <c r="I8" i="4" s="1"/>
  <c r="H7" i="4"/>
  <c r="I7" i="4" s="1"/>
  <c r="H6" i="4"/>
  <c r="I6" i="4" s="1"/>
  <c r="H5" i="4"/>
  <c r="I5" i="4" s="1"/>
  <c r="H4" i="4"/>
  <c r="I4" i="4" s="1"/>
  <c r="Q7" i="3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R4" i="3"/>
  <c r="R5" i="3" s="1"/>
  <c r="R6" i="3" s="1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Q4" i="3"/>
  <c r="Q5" i="3" s="1"/>
  <c r="P4" i="3"/>
  <c r="P5" i="3" s="1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C4" i="3"/>
  <c r="F616" i="13" l="1"/>
  <c r="B326" i="13"/>
  <c r="B26" i="13"/>
  <c r="B51" i="13" s="1"/>
  <c r="B511" i="13"/>
  <c r="B512" i="13" s="1"/>
  <c r="B148" i="13"/>
  <c r="Q183" i="13" s="1"/>
  <c r="B661" i="13"/>
  <c r="B662" i="13"/>
  <c r="B226" i="13"/>
  <c r="B251" i="13" s="1"/>
  <c r="B325" i="13"/>
  <c r="B225" i="13"/>
  <c r="B126" i="13"/>
  <c r="B151" i="13" s="1"/>
  <c r="R181" i="13" s="1"/>
  <c r="B426" i="13"/>
  <c r="B451" i="13" s="1"/>
  <c r="B425" i="13"/>
  <c r="F417" i="13"/>
  <c r="F217" i="13"/>
  <c r="F220" i="13" s="1"/>
  <c r="F223" i="13" s="1"/>
  <c r="F116" i="13"/>
  <c r="F119" i="13" s="1"/>
  <c r="F122" i="13" s="1"/>
  <c r="B125" i="13"/>
  <c r="B124" i="13"/>
  <c r="B625" i="13"/>
  <c r="B424" i="13"/>
  <c r="B318" i="13"/>
  <c r="B118" i="13"/>
  <c r="B418" i="13"/>
  <c r="F419" i="13" s="1"/>
  <c r="F422" i="13" s="1"/>
  <c r="C761" i="13"/>
  <c r="J779" i="13" s="1"/>
  <c r="B25" i="13"/>
  <c r="B18" i="13"/>
  <c r="B718" i="13"/>
  <c r="F719" i="13" s="1"/>
  <c r="F722" i="13" s="1"/>
  <c r="B111" i="13"/>
  <c r="B112" i="13" s="1"/>
  <c r="K175" i="13" s="1"/>
  <c r="K176" i="13" s="1"/>
  <c r="K177" i="13" s="1"/>
  <c r="K178" i="13" s="1"/>
  <c r="L479" i="13"/>
  <c r="B24" i="13"/>
  <c r="B626" i="13"/>
  <c r="B651" i="13" s="1"/>
  <c r="B212" i="13"/>
  <c r="K275" i="13" s="1"/>
  <c r="K276" i="13" s="1"/>
  <c r="K277" i="13" s="1"/>
  <c r="K278" i="13" s="1"/>
  <c r="S356" i="13"/>
  <c r="S357" i="13" s="1"/>
  <c r="S358" i="13" s="1"/>
  <c r="S359" i="13" s="1"/>
  <c r="S360" i="13" s="1"/>
  <c r="B257" i="13"/>
  <c r="B534" i="13"/>
  <c r="B536" i="13" s="1"/>
  <c r="B537" i="13" s="1"/>
  <c r="S556" i="13"/>
  <c r="S156" i="13"/>
  <c r="S157" i="13"/>
  <c r="S158" i="13" s="1"/>
  <c r="S159" i="13" s="1"/>
  <c r="S160" i="13" s="1"/>
  <c r="B334" i="13"/>
  <c r="B336" i="13" s="1"/>
  <c r="B337" i="13" s="1"/>
  <c r="B434" i="13"/>
  <c r="B436" i="13" s="1"/>
  <c r="S456" i="13"/>
  <c r="S457" i="13" s="1"/>
  <c r="S458" i="13" s="1"/>
  <c r="S557" i="13"/>
  <c r="S558" i="13" s="1"/>
  <c r="F17" i="13"/>
  <c r="F20" i="13" s="1"/>
  <c r="F23" i="13" s="1"/>
  <c r="F16" i="13"/>
  <c r="B45" i="13"/>
  <c r="P80" i="13" s="1"/>
  <c r="B245" i="13"/>
  <c r="P280" i="13" s="1"/>
  <c r="S760" i="13"/>
  <c r="B48" i="13"/>
  <c r="S659" i="13"/>
  <c r="B656" i="13"/>
  <c r="B659" i="13"/>
  <c r="B658" i="13"/>
  <c r="B256" i="13"/>
  <c r="B260" i="13"/>
  <c r="B259" i="13"/>
  <c r="B261" i="13"/>
  <c r="B459" i="13"/>
  <c r="B66" i="13"/>
  <c r="B57" i="13"/>
  <c r="B65" i="13"/>
  <c r="C661" i="13"/>
  <c r="J679" i="13" s="1"/>
  <c r="B62" i="13"/>
  <c r="B61" i="13"/>
  <c r="B159" i="13"/>
  <c r="B156" i="13"/>
  <c r="B58" i="13"/>
  <c r="B59" i="13"/>
  <c r="B68" i="13"/>
  <c r="B161" i="13"/>
  <c r="B67" i="13"/>
  <c r="B56" i="13"/>
  <c r="B160" i="13"/>
  <c r="B158" i="13"/>
  <c r="B70" i="13"/>
  <c r="B63" i="13"/>
  <c r="B69" i="13"/>
  <c r="P385" i="13"/>
  <c r="P379" i="13"/>
  <c r="P381" i="13"/>
  <c r="P387" i="13"/>
  <c r="P389" i="13"/>
  <c r="B357" i="13"/>
  <c r="P384" i="13"/>
  <c r="P383" i="13"/>
  <c r="P388" i="13"/>
  <c r="P386" i="13"/>
  <c r="P375" i="13"/>
  <c r="P382" i="13"/>
  <c r="P378" i="13"/>
  <c r="P377" i="13"/>
  <c r="P380" i="13"/>
  <c r="P489" i="13"/>
  <c r="B556" i="13"/>
  <c r="P479" i="13"/>
  <c r="P488" i="13"/>
  <c r="P478" i="13"/>
  <c r="B761" i="13"/>
  <c r="B762" i="13"/>
  <c r="Q181" i="13"/>
  <c r="P483" i="13"/>
  <c r="P475" i="13"/>
  <c r="B760" i="13"/>
  <c r="B751" i="13"/>
  <c r="R784" i="13" s="1"/>
  <c r="B759" i="13"/>
  <c r="P482" i="13"/>
  <c r="B756" i="13"/>
  <c r="B559" i="13"/>
  <c r="P487" i="13"/>
  <c r="P485" i="13"/>
  <c r="P481" i="13"/>
  <c r="P477" i="13"/>
  <c r="B758" i="13"/>
  <c r="B557" i="13"/>
  <c r="B551" i="13"/>
  <c r="R585" i="13" s="1"/>
  <c r="Q179" i="13"/>
  <c r="P486" i="13"/>
  <c r="P484" i="13"/>
  <c r="P480" i="13"/>
  <c r="B351" i="13"/>
  <c r="R378" i="13" s="1"/>
  <c r="G378" i="13" s="1"/>
  <c r="B362" i="13"/>
  <c r="B356" i="13"/>
  <c r="B361" i="13"/>
  <c r="B456" i="13"/>
  <c r="B457" i="13"/>
  <c r="B359" i="13"/>
  <c r="B360" i="13"/>
  <c r="P82" i="13"/>
  <c r="Q186" i="13"/>
  <c r="Q185" i="13"/>
  <c r="Q187" i="13"/>
  <c r="Q175" i="13"/>
  <c r="Q176" i="13"/>
  <c r="Q178" i="13"/>
  <c r="B736" i="13"/>
  <c r="B737" i="13" s="1"/>
  <c r="Q184" i="13"/>
  <c r="Q182" i="13"/>
  <c r="Q177" i="13"/>
  <c r="Q188" i="13"/>
  <c r="Q189" i="13"/>
  <c r="Q180" i="13"/>
  <c r="B312" i="13"/>
  <c r="P184" i="13"/>
  <c r="Q380" i="13"/>
  <c r="Q682" i="13"/>
  <c r="P182" i="13"/>
  <c r="Q376" i="13"/>
  <c r="Q678" i="13"/>
  <c r="P185" i="13"/>
  <c r="Q388" i="13"/>
  <c r="Q675" i="13"/>
  <c r="P177" i="13"/>
  <c r="Q387" i="13"/>
  <c r="Q686" i="13"/>
  <c r="P175" i="13"/>
  <c r="P187" i="13"/>
  <c r="P189" i="13"/>
  <c r="Q375" i="13"/>
  <c r="Q381" i="13"/>
  <c r="Q383" i="13"/>
  <c r="Q379" i="13"/>
  <c r="Q689" i="13"/>
  <c r="Q685" i="13"/>
  <c r="Q681" i="13"/>
  <c r="Q677" i="13"/>
  <c r="P188" i="13"/>
  <c r="P181" i="13"/>
  <c r="P179" i="13"/>
  <c r="P176" i="13"/>
  <c r="Q384" i="13"/>
  <c r="Q382" i="13"/>
  <c r="Q389" i="13"/>
  <c r="Q378" i="13"/>
  <c r="Q688" i="13"/>
  <c r="Q680" i="13"/>
  <c r="Q687" i="13"/>
  <c r="P186" i="13"/>
  <c r="P180" i="13"/>
  <c r="P183" i="13"/>
  <c r="Q385" i="13"/>
  <c r="Q377" i="13"/>
  <c r="Q683" i="13"/>
  <c r="Q679" i="13"/>
  <c r="Q684" i="13"/>
  <c r="B36" i="13"/>
  <c r="B37" i="13" s="1"/>
  <c r="B412" i="13"/>
  <c r="B612" i="13"/>
  <c r="F520" i="13"/>
  <c r="F523" i="13" s="1"/>
  <c r="B12" i="13"/>
  <c r="K75" i="13" s="1"/>
  <c r="K76" i="13" s="1"/>
  <c r="K77" i="13" s="1"/>
  <c r="K78" i="13" s="1"/>
  <c r="K79" i="13" s="1"/>
  <c r="K80" i="13" s="1"/>
  <c r="B136" i="13"/>
  <c r="B137" i="13" s="1"/>
  <c r="B636" i="13"/>
  <c r="F519" i="13"/>
  <c r="F522" i="13" s="1"/>
  <c r="L389" i="13"/>
  <c r="P775" i="13"/>
  <c r="P789" i="13"/>
  <c r="P776" i="13"/>
  <c r="P778" i="13"/>
  <c r="P780" i="13"/>
  <c r="P779" i="13"/>
  <c r="P788" i="13"/>
  <c r="P782" i="13"/>
  <c r="P784" i="13"/>
  <c r="P783" i="13"/>
  <c r="P781" i="13"/>
  <c r="P785" i="13"/>
  <c r="P786" i="13"/>
  <c r="P777" i="13"/>
  <c r="P787" i="13"/>
  <c r="P76" i="13"/>
  <c r="J477" i="13"/>
  <c r="C460" i="13"/>
  <c r="P78" i="13"/>
  <c r="P85" i="13"/>
  <c r="P79" i="13"/>
  <c r="P89" i="13"/>
  <c r="P87" i="13"/>
  <c r="B560" i="13"/>
  <c r="A561" i="13"/>
  <c r="B712" i="13"/>
  <c r="F619" i="13"/>
  <c r="F622" i="13" s="1"/>
  <c r="Q483" i="13"/>
  <c r="Q480" i="13"/>
  <c r="Q477" i="13"/>
  <c r="Q486" i="13"/>
  <c r="Q487" i="13"/>
  <c r="Q484" i="13"/>
  <c r="Q481" i="13"/>
  <c r="Q475" i="13"/>
  <c r="Q478" i="13"/>
  <c r="Q488" i="13"/>
  <c r="Q485" i="13"/>
  <c r="Q489" i="13"/>
  <c r="Q479" i="13"/>
  <c r="Q476" i="13"/>
  <c r="Q482" i="13"/>
  <c r="J577" i="13"/>
  <c r="C560" i="13"/>
  <c r="F219" i="13"/>
  <c r="F222" i="13" s="1"/>
  <c r="P84" i="13"/>
  <c r="F120" i="13"/>
  <c r="F123" i="13" s="1"/>
  <c r="F319" i="13"/>
  <c r="F322" i="13" s="1"/>
  <c r="Q583" i="13"/>
  <c r="Q580" i="13"/>
  <c r="Q575" i="13"/>
  <c r="Q589" i="13"/>
  <c r="Q587" i="13"/>
  <c r="Q584" i="13"/>
  <c r="Q577" i="13"/>
  <c r="Q578" i="13"/>
  <c r="Q582" i="13"/>
  <c r="Q588" i="13"/>
  <c r="Q581" i="13"/>
  <c r="Q585" i="13"/>
  <c r="Q579" i="13"/>
  <c r="Q576" i="13"/>
  <c r="Q586" i="13"/>
  <c r="F320" i="13"/>
  <c r="F323" i="13" s="1"/>
  <c r="Q783" i="13"/>
  <c r="Q784" i="13"/>
  <c r="Q785" i="13"/>
  <c r="Q786" i="13"/>
  <c r="Q787" i="13"/>
  <c r="Q788" i="13"/>
  <c r="Q789" i="13"/>
  <c r="Q775" i="13"/>
  <c r="Q776" i="13"/>
  <c r="Q777" i="13"/>
  <c r="Q778" i="13"/>
  <c r="Q780" i="13"/>
  <c r="Q781" i="13"/>
  <c r="Q782" i="13"/>
  <c r="Q779" i="13"/>
  <c r="P686" i="13"/>
  <c r="P687" i="13"/>
  <c r="P688" i="13"/>
  <c r="P689" i="13"/>
  <c r="P675" i="13"/>
  <c r="P676" i="13"/>
  <c r="P677" i="13"/>
  <c r="P678" i="13"/>
  <c r="P679" i="13"/>
  <c r="P680" i="13"/>
  <c r="P681" i="13"/>
  <c r="P682" i="13"/>
  <c r="P683" i="13"/>
  <c r="P684" i="13"/>
  <c r="P685" i="13"/>
  <c r="A581" i="13"/>
  <c r="L580" i="13"/>
  <c r="M580" i="13"/>
  <c r="F620" i="13"/>
  <c r="F623" i="13" s="1"/>
  <c r="B236" i="13"/>
  <c r="P587" i="13"/>
  <c r="P584" i="13"/>
  <c r="P585" i="13"/>
  <c r="P575" i="13"/>
  <c r="P586" i="13"/>
  <c r="P588" i="13"/>
  <c r="P589" i="13"/>
  <c r="P579" i="13"/>
  <c r="P576" i="13"/>
  <c r="P577" i="13"/>
  <c r="P578" i="13"/>
  <c r="P582" i="13"/>
  <c r="P583" i="13"/>
  <c r="P580" i="13"/>
  <c r="P581" i="13"/>
  <c r="Q282" i="13"/>
  <c r="Q281" i="13"/>
  <c r="Q289" i="13"/>
  <c r="Q280" i="13"/>
  <c r="Q285" i="13"/>
  <c r="Q284" i="13"/>
  <c r="Q278" i="13"/>
  <c r="Q283" i="13"/>
  <c r="Q288" i="13"/>
  <c r="Q286" i="13"/>
  <c r="Q275" i="13"/>
  <c r="Q277" i="13"/>
  <c r="Q287" i="13"/>
  <c r="Q276" i="13"/>
  <c r="Q279" i="13"/>
  <c r="A461" i="13"/>
  <c r="B460" i="13"/>
  <c r="M779" i="13"/>
  <c r="A780" i="13"/>
  <c r="L779" i="13"/>
  <c r="A681" i="13"/>
  <c r="L680" i="13"/>
  <c r="M680" i="13"/>
  <c r="A481" i="13"/>
  <c r="L480" i="13"/>
  <c r="M480" i="13"/>
  <c r="A263" i="13"/>
  <c r="B262" i="13"/>
  <c r="A281" i="13"/>
  <c r="M280" i="13"/>
  <c r="L280" i="13"/>
  <c r="C262" i="13"/>
  <c r="S261" i="13" s="1"/>
  <c r="J279" i="13"/>
  <c r="L181" i="13"/>
  <c r="A182" i="13"/>
  <c r="M181" i="13"/>
  <c r="F19" i="13"/>
  <c r="F22" i="13" s="1"/>
  <c r="A763" i="13"/>
  <c r="B763" i="13" s="1"/>
  <c r="A663" i="13"/>
  <c r="B663" i="13" s="1"/>
  <c r="C362" i="13"/>
  <c r="J380" i="13" s="1"/>
  <c r="A363" i="13"/>
  <c r="B363" i="13" s="1"/>
  <c r="B162" i="13"/>
  <c r="A163" i="13"/>
  <c r="C162" i="13"/>
  <c r="J179" i="13"/>
  <c r="B48" i="1"/>
  <c r="R288" i="13" l="1"/>
  <c r="R275" i="13"/>
  <c r="G275" i="13" s="1"/>
  <c r="R277" i="13"/>
  <c r="G277" i="13" s="1"/>
  <c r="R289" i="13"/>
  <c r="R276" i="13"/>
  <c r="G276" i="13" s="1"/>
  <c r="R486" i="13"/>
  <c r="R487" i="13"/>
  <c r="R481" i="13"/>
  <c r="R480" i="13"/>
  <c r="R476" i="13"/>
  <c r="G476" i="13" s="1"/>
  <c r="R478" i="13"/>
  <c r="G478" i="13" s="1"/>
  <c r="R483" i="13"/>
  <c r="R83" i="13"/>
  <c r="R82" i="13"/>
  <c r="R81" i="13"/>
  <c r="R75" i="13"/>
  <c r="R79" i="13"/>
  <c r="R87" i="13"/>
  <c r="B237" i="13"/>
  <c r="O279" i="13" s="1"/>
  <c r="F720" i="13"/>
  <c r="F723" i="13" s="1"/>
  <c r="F420" i="13"/>
  <c r="F423" i="13" s="1"/>
  <c r="K775" i="13"/>
  <c r="K776" i="13" s="1"/>
  <c r="K777" i="13" s="1"/>
  <c r="K778" i="13" s="1"/>
  <c r="B437" i="13"/>
  <c r="O482" i="13" s="1"/>
  <c r="C762" i="13"/>
  <c r="J780" i="13" s="1"/>
  <c r="K780" i="13" s="1"/>
  <c r="B637" i="13"/>
  <c r="K779" i="13"/>
  <c r="S660" i="13"/>
  <c r="R685" i="13"/>
  <c r="R682" i="13"/>
  <c r="R688" i="13"/>
  <c r="R678" i="13"/>
  <c r="G678" i="13" s="1"/>
  <c r="R684" i="13"/>
  <c r="R681" i="13"/>
  <c r="R680" i="13"/>
  <c r="R683" i="13"/>
  <c r="R675" i="13"/>
  <c r="G675" i="13" s="1"/>
  <c r="R687" i="13"/>
  <c r="R677" i="13"/>
  <c r="G677" i="13" s="1"/>
  <c r="R686" i="13"/>
  <c r="R679" i="13"/>
  <c r="G679" i="13" s="1"/>
  <c r="R88" i="13"/>
  <c r="R484" i="13"/>
  <c r="R80" i="13"/>
  <c r="R84" i="13"/>
  <c r="R475" i="13"/>
  <c r="G475" i="13" s="1"/>
  <c r="R485" i="13"/>
  <c r="R89" i="13"/>
  <c r="R76" i="13"/>
  <c r="R77" i="13"/>
  <c r="R488" i="13"/>
  <c r="R489" i="13"/>
  <c r="K675" i="13"/>
  <c r="K676" i="13" s="1"/>
  <c r="K677" i="13" s="1"/>
  <c r="K678" i="13" s="1"/>
  <c r="K679" i="13" s="1"/>
  <c r="K475" i="13"/>
  <c r="K476" i="13" s="1"/>
  <c r="K575" i="13"/>
  <c r="K576" i="13" s="1"/>
  <c r="K375" i="13"/>
  <c r="K376" i="13" s="1"/>
  <c r="K377" i="13" s="1"/>
  <c r="K378" i="13" s="1"/>
  <c r="K379" i="13" s="1"/>
  <c r="K380" i="13" s="1"/>
  <c r="P285" i="13"/>
  <c r="P284" i="13"/>
  <c r="R86" i="13"/>
  <c r="R85" i="13"/>
  <c r="R78" i="13"/>
  <c r="R482" i="13"/>
  <c r="R477" i="13"/>
  <c r="G477" i="13" s="1"/>
  <c r="R479" i="13"/>
  <c r="G479" i="13" s="1"/>
  <c r="P86" i="13"/>
  <c r="R676" i="13"/>
  <c r="G676" i="13" s="1"/>
  <c r="R689" i="13"/>
  <c r="P88" i="13"/>
  <c r="P83" i="13"/>
  <c r="P77" i="13"/>
  <c r="P81" i="13"/>
  <c r="P75" i="13"/>
  <c r="P282" i="13"/>
  <c r="R282" i="13"/>
  <c r="R286" i="13"/>
  <c r="R285" i="13"/>
  <c r="R280" i="13"/>
  <c r="G280" i="13" s="1"/>
  <c r="R278" i="13"/>
  <c r="G278" i="13" s="1"/>
  <c r="R287" i="13"/>
  <c r="R281" i="13"/>
  <c r="R283" i="13"/>
  <c r="R284" i="13"/>
  <c r="R279" i="13"/>
  <c r="G279" i="13" s="1"/>
  <c r="R586" i="13"/>
  <c r="P286" i="13"/>
  <c r="P289" i="13"/>
  <c r="P275" i="13"/>
  <c r="P279" i="13"/>
  <c r="P283" i="13"/>
  <c r="P288" i="13"/>
  <c r="P276" i="13"/>
  <c r="P287" i="13"/>
  <c r="P277" i="13"/>
  <c r="P281" i="13"/>
  <c r="P278" i="13"/>
  <c r="S361" i="13"/>
  <c r="S459" i="13"/>
  <c r="S559" i="13"/>
  <c r="S161" i="13"/>
  <c r="Q78" i="13"/>
  <c r="Q81" i="13"/>
  <c r="Q84" i="13"/>
  <c r="Q86" i="13"/>
  <c r="Q85" i="13"/>
  <c r="Q79" i="13"/>
  <c r="Q80" i="13"/>
  <c r="Q87" i="13"/>
  <c r="Q82" i="13"/>
  <c r="Q88" i="13"/>
  <c r="Q89" i="13"/>
  <c r="Q75" i="13"/>
  <c r="Q83" i="13"/>
  <c r="Q77" i="13"/>
  <c r="Q76" i="13"/>
  <c r="C662" i="13"/>
  <c r="J680" i="13" s="1"/>
  <c r="G480" i="13"/>
  <c r="R185" i="13"/>
  <c r="R376" i="13"/>
  <c r="G376" i="13" s="1"/>
  <c r="R789" i="13"/>
  <c r="R785" i="13"/>
  <c r="R175" i="13"/>
  <c r="G175" i="13" s="1"/>
  <c r="R178" i="13"/>
  <c r="G178" i="13" s="1"/>
  <c r="R587" i="13"/>
  <c r="R177" i="13"/>
  <c r="G177" i="13" s="1"/>
  <c r="R577" i="13"/>
  <c r="G577" i="13" s="1"/>
  <c r="O777" i="13"/>
  <c r="O786" i="13"/>
  <c r="R179" i="13"/>
  <c r="G179" i="13" s="1"/>
  <c r="R182" i="13"/>
  <c r="R187" i="13"/>
  <c r="R183" i="13"/>
  <c r="R575" i="13"/>
  <c r="G575" i="13" s="1"/>
  <c r="R583" i="13"/>
  <c r="R579" i="13"/>
  <c r="G579" i="13" s="1"/>
  <c r="R578" i="13"/>
  <c r="G578" i="13" s="1"/>
  <c r="R783" i="13"/>
  <c r="R176" i="13"/>
  <c r="G176" i="13" s="1"/>
  <c r="R188" i="13"/>
  <c r="R184" i="13"/>
  <c r="R180" i="13"/>
  <c r="G180" i="13" s="1"/>
  <c r="R576" i="13"/>
  <c r="G576" i="13" s="1"/>
  <c r="R588" i="13"/>
  <c r="R584" i="13"/>
  <c r="R580" i="13"/>
  <c r="G580" i="13" s="1"/>
  <c r="R776" i="13"/>
  <c r="G776" i="13" s="1"/>
  <c r="R186" i="13"/>
  <c r="R189" i="13"/>
  <c r="O485" i="13"/>
  <c r="R389" i="13"/>
  <c r="G389" i="13" s="1"/>
  <c r="R581" i="13"/>
  <c r="R582" i="13"/>
  <c r="R589" i="13"/>
  <c r="R777" i="13"/>
  <c r="G777" i="13" s="1"/>
  <c r="R781" i="13"/>
  <c r="R778" i="13"/>
  <c r="G778" i="13" s="1"/>
  <c r="R787" i="13"/>
  <c r="O775" i="13"/>
  <c r="R780" i="13"/>
  <c r="R779" i="13"/>
  <c r="G779" i="13" s="1"/>
  <c r="R786" i="13"/>
  <c r="R782" i="13"/>
  <c r="R775" i="13"/>
  <c r="G775" i="13" s="1"/>
  <c r="R788" i="13"/>
  <c r="O788" i="13"/>
  <c r="R384" i="13"/>
  <c r="G384" i="13" s="1"/>
  <c r="R388" i="13"/>
  <c r="G388" i="13" s="1"/>
  <c r="R387" i="13"/>
  <c r="G387" i="13" s="1"/>
  <c r="R379" i="13"/>
  <c r="G379" i="13" s="1"/>
  <c r="R375" i="13"/>
  <c r="G375" i="13" s="1"/>
  <c r="O780" i="13"/>
  <c r="O778" i="13"/>
  <c r="O789" i="13"/>
  <c r="O787" i="13"/>
  <c r="O785" i="13"/>
  <c r="R383" i="13"/>
  <c r="G383" i="13" s="1"/>
  <c r="R380" i="13"/>
  <c r="G380" i="13" s="1"/>
  <c r="R381" i="13"/>
  <c r="G381" i="13" s="1"/>
  <c r="R377" i="13"/>
  <c r="G377" i="13" s="1"/>
  <c r="O784" i="13"/>
  <c r="O782" i="13"/>
  <c r="O776" i="13"/>
  <c r="O783" i="13"/>
  <c r="O781" i="13"/>
  <c r="O779" i="13"/>
  <c r="R385" i="13"/>
  <c r="G385" i="13" s="1"/>
  <c r="R386" i="13"/>
  <c r="G386" i="13" s="1"/>
  <c r="R382" i="13"/>
  <c r="G382" i="13" s="1"/>
  <c r="O478" i="13"/>
  <c r="K477" i="13"/>
  <c r="O487" i="13"/>
  <c r="O78" i="13"/>
  <c r="O76" i="13"/>
  <c r="K577" i="13"/>
  <c r="O79" i="13"/>
  <c r="O483" i="13"/>
  <c r="O477" i="13"/>
  <c r="O77" i="13"/>
  <c r="O480" i="13"/>
  <c r="O475" i="13"/>
  <c r="K179" i="13"/>
  <c r="O680" i="13"/>
  <c r="O688" i="13"/>
  <c r="O681" i="13"/>
  <c r="O679" i="13"/>
  <c r="O682" i="13"/>
  <c r="O689" i="13"/>
  <c r="O683" i="13"/>
  <c r="O676" i="13"/>
  <c r="O684" i="13"/>
  <c r="O675" i="13"/>
  <c r="O685" i="13"/>
  <c r="O678" i="13"/>
  <c r="O686" i="13"/>
  <c r="O677" i="13"/>
  <c r="O687" i="13"/>
  <c r="O80" i="13"/>
  <c r="O87" i="13"/>
  <c r="G181" i="13"/>
  <c r="A582" i="13"/>
  <c r="M581" i="13"/>
  <c r="L581" i="13"/>
  <c r="O89" i="13"/>
  <c r="O85" i="13"/>
  <c r="O83" i="13"/>
  <c r="O88" i="13"/>
  <c r="O86" i="13"/>
  <c r="O82" i="13"/>
  <c r="O75" i="13"/>
  <c r="A462" i="13"/>
  <c r="B461" i="13"/>
  <c r="J578" i="13"/>
  <c r="C561" i="13"/>
  <c r="O178" i="13"/>
  <c r="O183" i="13"/>
  <c r="O182" i="13"/>
  <c r="O185" i="13"/>
  <c r="O186" i="13"/>
  <c r="O187" i="13"/>
  <c r="O184" i="13"/>
  <c r="O189" i="13"/>
  <c r="O175" i="13"/>
  <c r="O176" i="13"/>
  <c r="O188" i="13"/>
  <c r="O181" i="13"/>
  <c r="O177" i="13"/>
  <c r="O180" i="13"/>
  <c r="O179" i="13"/>
  <c r="C461" i="13"/>
  <c r="J478" i="13"/>
  <c r="M780" i="13"/>
  <c r="L780" i="13"/>
  <c r="G780" i="13" s="1"/>
  <c r="A781" i="13"/>
  <c r="O81" i="13"/>
  <c r="O84" i="13"/>
  <c r="G680" i="13"/>
  <c r="O576" i="13"/>
  <c r="O584" i="13"/>
  <c r="O583" i="13"/>
  <c r="O579" i="13"/>
  <c r="O578" i="13"/>
  <c r="O586" i="13"/>
  <c r="O585" i="13"/>
  <c r="O587" i="13"/>
  <c r="O580" i="13"/>
  <c r="O588" i="13"/>
  <c r="O589" i="13"/>
  <c r="O577" i="13"/>
  <c r="O582" i="13"/>
  <c r="O581" i="13"/>
  <c r="O575" i="13"/>
  <c r="O277" i="13"/>
  <c r="O287" i="13"/>
  <c r="O275" i="13"/>
  <c r="O288" i="13"/>
  <c r="O284" i="13"/>
  <c r="O289" i="13"/>
  <c r="O286" i="13"/>
  <c r="O285" i="13"/>
  <c r="K279" i="13"/>
  <c r="O379" i="13"/>
  <c r="O387" i="13"/>
  <c r="O382" i="13"/>
  <c r="O378" i="13"/>
  <c r="O381" i="13"/>
  <c r="O389" i="13"/>
  <c r="O384" i="13"/>
  <c r="O375" i="13"/>
  <c r="O383" i="13"/>
  <c r="O376" i="13"/>
  <c r="O386" i="13"/>
  <c r="O377" i="13"/>
  <c r="O385" i="13"/>
  <c r="O380" i="13"/>
  <c r="O388" i="13"/>
  <c r="B561" i="13"/>
  <c r="A562" i="13"/>
  <c r="A682" i="13"/>
  <c r="L681" i="13"/>
  <c r="G681" i="13" s="1"/>
  <c r="M681" i="13"/>
  <c r="M481" i="13"/>
  <c r="A482" i="13"/>
  <c r="L481" i="13"/>
  <c r="C263" i="13"/>
  <c r="S262" i="13" s="1"/>
  <c r="J280" i="13"/>
  <c r="A264" i="13"/>
  <c r="B263" i="13"/>
  <c r="A282" i="13"/>
  <c r="L281" i="13"/>
  <c r="M281" i="13"/>
  <c r="M182" i="13"/>
  <c r="L182" i="13"/>
  <c r="A183" i="13"/>
  <c r="A764" i="13"/>
  <c r="B764" i="13" s="1"/>
  <c r="A664" i="13"/>
  <c r="B664" i="13" s="1"/>
  <c r="A364" i="13"/>
  <c r="B364" i="13" s="1"/>
  <c r="C363" i="13"/>
  <c r="J381" i="13" s="1"/>
  <c r="C163" i="13"/>
  <c r="J180" i="13"/>
  <c r="A164" i="13"/>
  <c r="B163" i="13"/>
  <c r="K81" i="13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B35" i="1"/>
  <c r="B24" i="1"/>
  <c r="B26" i="1"/>
  <c r="B51" i="1" s="1"/>
  <c r="O276" i="13" l="1"/>
  <c r="O283" i="13"/>
  <c r="O278" i="13"/>
  <c r="O282" i="13"/>
  <c r="O486" i="13"/>
  <c r="O484" i="13"/>
  <c r="O479" i="13"/>
  <c r="O489" i="13"/>
  <c r="C763" i="13"/>
  <c r="J781" i="13" s="1"/>
  <c r="G481" i="13"/>
  <c r="O281" i="13"/>
  <c r="O280" i="13"/>
  <c r="O476" i="13"/>
  <c r="O488" i="13"/>
  <c r="O481" i="13"/>
  <c r="S761" i="13"/>
  <c r="S762" i="13" s="1"/>
  <c r="G581" i="13"/>
  <c r="K680" i="13"/>
  <c r="G281" i="13"/>
  <c r="C663" i="13"/>
  <c r="J681" i="13" s="1"/>
  <c r="K681" i="13" s="1"/>
  <c r="S162" i="13"/>
  <c r="S460" i="13"/>
  <c r="S560" i="13"/>
  <c r="S362" i="13"/>
  <c r="S661" i="13"/>
  <c r="G182" i="13"/>
  <c r="K478" i="13"/>
  <c r="K578" i="13"/>
  <c r="K180" i="13"/>
  <c r="A782" i="13"/>
  <c r="M781" i="13"/>
  <c r="L781" i="13"/>
  <c r="G781" i="13" s="1"/>
  <c r="A583" i="13"/>
  <c r="M582" i="13"/>
  <c r="L582" i="13"/>
  <c r="G582" i="13" s="1"/>
  <c r="K280" i="13"/>
  <c r="B562" i="13"/>
  <c r="A563" i="13"/>
  <c r="J479" i="13"/>
  <c r="K479" i="13" s="1"/>
  <c r="C462" i="13"/>
  <c r="J579" i="13"/>
  <c r="C562" i="13"/>
  <c r="A463" i="13"/>
  <c r="B462" i="13"/>
  <c r="K781" i="13"/>
  <c r="A683" i="13"/>
  <c r="L682" i="13"/>
  <c r="G682" i="13" s="1"/>
  <c r="M682" i="13"/>
  <c r="L482" i="13"/>
  <c r="G482" i="13" s="1"/>
  <c r="M482" i="13"/>
  <c r="A483" i="13"/>
  <c r="K381" i="13"/>
  <c r="A265" i="13"/>
  <c r="B264" i="13"/>
  <c r="C264" i="13"/>
  <c r="S263" i="13" s="1"/>
  <c r="J281" i="13"/>
  <c r="A283" i="13"/>
  <c r="L282" i="13"/>
  <c r="G282" i="13" s="1"/>
  <c r="M282" i="13"/>
  <c r="L183" i="13"/>
  <c r="G183" i="13" s="1"/>
  <c r="M183" i="13"/>
  <c r="A184" i="13"/>
  <c r="A765" i="13"/>
  <c r="B765" i="13" s="1"/>
  <c r="C764" i="13"/>
  <c r="J782" i="13" s="1"/>
  <c r="A665" i="13"/>
  <c r="B665" i="13" s="1"/>
  <c r="C364" i="13"/>
  <c r="J382" i="13" s="1"/>
  <c r="A365" i="13"/>
  <c r="B365" i="13" s="1"/>
  <c r="C164" i="13"/>
  <c r="J181" i="13"/>
  <c r="A165" i="13"/>
  <c r="B164" i="13"/>
  <c r="K82" i="13"/>
  <c r="R15" i="4"/>
  <c r="R11" i="4"/>
  <c r="R8" i="4"/>
  <c r="R7" i="4"/>
  <c r="R18" i="4"/>
  <c r="R14" i="4"/>
  <c r="R10" i="4"/>
  <c r="R17" i="4"/>
  <c r="R13" i="4"/>
  <c r="R9" i="4"/>
  <c r="R5" i="4"/>
  <c r="R4" i="4"/>
  <c r="R16" i="4"/>
  <c r="R12" i="4"/>
  <c r="R6" i="4"/>
  <c r="B25" i="1"/>
  <c r="C664" i="13" l="1"/>
  <c r="J682" i="13" s="1"/>
  <c r="S662" i="13"/>
  <c r="K181" i="13"/>
  <c r="S461" i="13"/>
  <c r="S163" i="13"/>
  <c r="S363" i="13"/>
  <c r="S763" i="13"/>
  <c r="S561" i="13"/>
  <c r="K579" i="13"/>
  <c r="K682" i="13"/>
  <c r="K281" i="13"/>
  <c r="A464" i="13"/>
  <c r="B463" i="13"/>
  <c r="J480" i="13"/>
  <c r="K480" i="13" s="1"/>
  <c r="C463" i="13"/>
  <c r="A584" i="13"/>
  <c r="L583" i="13"/>
  <c r="G583" i="13" s="1"/>
  <c r="M583" i="13"/>
  <c r="J580" i="13"/>
  <c r="C563" i="13"/>
  <c r="K782" i="13"/>
  <c r="B563" i="13"/>
  <c r="A564" i="13"/>
  <c r="L782" i="13"/>
  <c r="G782" i="13" s="1"/>
  <c r="M782" i="13"/>
  <c r="A783" i="13"/>
  <c r="A684" i="13"/>
  <c r="L683" i="13"/>
  <c r="G683" i="13" s="1"/>
  <c r="M683" i="13"/>
  <c r="M483" i="13"/>
  <c r="A484" i="13"/>
  <c r="L483" i="13"/>
  <c r="G483" i="13" s="1"/>
  <c r="K382" i="13"/>
  <c r="A266" i="13"/>
  <c r="B265" i="13"/>
  <c r="C265" i="13"/>
  <c r="S264" i="13" s="1"/>
  <c r="J282" i="13"/>
  <c r="A284" i="13"/>
  <c r="M283" i="13"/>
  <c r="L283" i="13"/>
  <c r="G283" i="13" s="1"/>
  <c r="L184" i="13"/>
  <c r="G184" i="13" s="1"/>
  <c r="A185" i="13"/>
  <c r="M184" i="13"/>
  <c r="C765" i="13"/>
  <c r="J783" i="13" s="1"/>
  <c r="A766" i="13"/>
  <c r="B766" i="13" s="1"/>
  <c r="C665" i="13"/>
  <c r="J683" i="13" s="1"/>
  <c r="K683" i="13" s="1"/>
  <c r="A666" i="13"/>
  <c r="B666" i="13" s="1"/>
  <c r="C365" i="13"/>
  <c r="J383" i="13" s="1"/>
  <c r="A366" i="13"/>
  <c r="B366" i="13" s="1"/>
  <c r="C165" i="13"/>
  <c r="J182" i="13"/>
  <c r="K182" i="13" s="1"/>
  <c r="B165" i="13"/>
  <c r="A166" i="13"/>
  <c r="K83" i="13"/>
  <c r="B34" i="1"/>
  <c r="F17" i="1"/>
  <c r="F20" i="1" s="1"/>
  <c r="F23" i="1" s="1"/>
  <c r="F16" i="1"/>
  <c r="F19" i="1" s="1"/>
  <c r="F22" i="1" s="1"/>
  <c r="S663" i="13" l="1"/>
  <c r="K282" i="13"/>
  <c r="K783" i="13"/>
  <c r="S164" i="13"/>
  <c r="S562" i="13"/>
  <c r="S664" i="13"/>
  <c r="S764" i="13"/>
  <c r="S462" i="13"/>
  <c r="S364" i="13"/>
  <c r="K580" i="13"/>
  <c r="A784" i="13"/>
  <c r="L783" i="13"/>
  <c r="G783" i="13" s="1"/>
  <c r="M783" i="13"/>
  <c r="J481" i="13"/>
  <c r="K481" i="13" s="1"/>
  <c r="C464" i="13"/>
  <c r="B564" i="13"/>
  <c r="A565" i="13"/>
  <c r="J581" i="13"/>
  <c r="K581" i="13" s="1"/>
  <c r="C564" i="13"/>
  <c r="A585" i="13"/>
  <c r="L584" i="13"/>
  <c r="G584" i="13" s="1"/>
  <c r="M584" i="13"/>
  <c r="A465" i="13"/>
  <c r="B464" i="13"/>
  <c r="A685" i="13"/>
  <c r="L684" i="13"/>
  <c r="G684" i="13" s="1"/>
  <c r="M684" i="13"/>
  <c r="M484" i="13"/>
  <c r="A485" i="13"/>
  <c r="L484" i="13"/>
  <c r="G484" i="13" s="1"/>
  <c r="K383" i="13"/>
  <c r="C266" i="13"/>
  <c r="S265" i="13" s="1"/>
  <c r="J283" i="13"/>
  <c r="K283" i="13" s="1"/>
  <c r="A267" i="13"/>
  <c r="B266" i="13"/>
  <c r="A285" i="13"/>
  <c r="M284" i="13"/>
  <c r="L284" i="13"/>
  <c r="G284" i="13" s="1"/>
  <c r="A186" i="13"/>
  <c r="M185" i="13"/>
  <c r="L185" i="13"/>
  <c r="G185" i="13" s="1"/>
  <c r="A767" i="13"/>
  <c r="B767" i="13" s="1"/>
  <c r="C766" i="13"/>
  <c r="J784" i="13" s="1"/>
  <c r="K784" i="13" s="1"/>
  <c r="A667" i="13"/>
  <c r="B667" i="13" s="1"/>
  <c r="C666" i="13"/>
  <c r="J684" i="13" s="1"/>
  <c r="K684" i="13" s="1"/>
  <c r="A367" i="13"/>
  <c r="B367" i="13" s="1"/>
  <c r="C366" i="13"/>
  <c r="J384" i="13" s="1"/>
  <c r="B166" i="13"/>
  <c r="A167" i="13"/>
  <c r="C166" i="13"/>
  <c r="J183" i="13"/>
  <c r="K183" i="13" s="1"/>
  <c r="K84" i="13"/>
  <c r="B36" i="1"/>
  <c r="B37" i="1" s="1"/>
  <c r="S365" i="13" l="1"/>
  <c r="S563" i="13"/>
  <c r="S463" i="13"/>
  <c r="S665" i="13"/>
  <c r="S165" i="13"/>
  <c r="S765" i="13"/>
  <c r="B465" i="13"/>
  <c r="A466" i="13"/>
  <c r="J582" i="13"/>
  <c r="K582" i="13" s="1"/>
  <c r="C565" i="13"/>
  <c r="C465" i="13"/>
  <c r="S464" i="13" s="1"/>
  <c r="J482" i="13"/>
  <c r="K482" i="13" s="1"/>
  <c r="A586" i="13"/>
  <c r="L585" i="13"/>
  <c r="G585" i="13" s="1"/>
  <c r="M585" i="13"/>
  <c r="B565" i="13"/>
  <c r="A566" i="13"/>
  <c r="A785" i="13"/>
  <c r="L784" i="13"/>
  <c r="G784" i="13" s="1"/>
  <c r="M784" i="13"/>
  <c r="A686" i="13"/>
  <c r="L685" i="13"/>
  <c r="G685" i="13" s="1"/>
  <c r="M685" i="13"/>
  <c r="M485" i="13"/>
  <c r="A486" i="13"/>
  <c r="L485" i="13"/>
  <c r="G485" i="13" s="1"/>
  <c r="K384" i="13"/>
  <c r="A268" i="13"/>
  <c r="B267" i="13"/>
  <c r="A286" i="13"/>
  <c r="L285" i="13"/>
  <c r="G285" i="13" s="1"/>
  <c r="M285" i="13"/>
  <c r="C267" i="13"/>
  <c r="S266" i="13" s="1"/>
  <c r="J284" i="13"/>
  <c r="K284" i="13" s="1"/>
  <c r="L186" i="13"/>
  <c r="G186" i="13" s="1"/>
  <c r="A187" i="13"/>
  <c r="M186" i="13"/>
  <c r="A768" i="13"/>
  <c r="B768" i="13" s="1"/>
  <c r="C767" i="13"/>
  <c r="J785" i="13" s="1"/>
  <c r="K785" i="13" s="1"/>
  <c r="C667" i="13"/>
  <c r="J685" i="13" s="1"/>
  <c r="K685" i="13" s="1"/>
  <c r="A668" i="13"/>
  <c r="B668" i="13" s="1"/>
  <c r="C367" i="13"/>
  <c r="J385" i="13" s="1"/>
  <c r="A368" i="13"/>
  <c r="B368" i="13" s="1"/>
  <c r="C167" i="13"/>
  <c r="J184" i="13"/>
  <c r="K184" i="13" s="1"/>
  <c r="A168" i="13"/>
  <c r="B167" i="13"/>
  <c r="K85" i="13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B7" i="1"/>
  <c r="B12" i="1" s="1"/>
  <c r="S564" i="13" l="1"/>
  <c r="S766" i="13"/>
  <c r="S366" i="13"/>
  <c r="S166" i="13"/>
  <c r="S666" i="13"/>
  <c r="B566" i="13"/>
  <c r="A567" i="13"/>
  <c r="A587" i="13"/>
  <c r="M586" i="13"/>
  <c r="L586" i="13"/>
  <c r="G586" i="13" s="1"/>
  <c r="J583" i="13"/>
  <c r="K583" i="13" s="1"/>
  <c r="C566" i="13"/>
  <c r="S565" i="13" s="1"/>
  <c r="A786" i="13"/>
  <c r="M785" i="13"/>
  <c r="L785" i="13"/>
  <c r="G785" i="13" s="1"/>
  <c r="J483" i="13"/>
  <c r="K483" i="13" s="1"/>
  <c r="C466" i="13"/>
  <c r="S465" i="13" s="1"/>
  <c r="A467" i="13"/>
  <c r="B466" i="13"/>
  <c r="A687" i="13"/>
  <c r="L686" i="13"/>
  <c r="G686" i="13" s="1"/>
  <c r="M686" i="13"/>
  <c r="M486" i="13"/>
  <c r="A487" i="13"/>
  <c r="L486" i="13"/>
  <c r="G486" i="13" s="1"/>
  <c r="K385" i="13"/>
  <c r="A287" i="13"/>
  <c r="M286" i="13"/>
  <c r="L286" i="13"/>
  <c r="G286" i="13" s="1"/>
  <c r="C268" i="13"/>
  <c r="S267" i="13" s="1"/>
  <c r="J285" i="13"/>
  <c r="K285" i="13" s="1"/>
  <c r="A269" i="13"/>
  <c r="B268" i="13"/>
  <c r="L187" i="13"/>
  <c r="G187" i="13" s="1"/>
  <c r="A188" i="13"/>
  <c r="M187" i="13"/>
  <c r="A769" i="13"/>
  <c r="B769" i="13" s="1"/>
  <c r="C768" i="13"/>
  <c r="J786" i="13" s="1"/>
  <c r="K786" i="13" s="1"/>
  <c r="A669" i="13"/>
  <c r="B669" i="13" s="1"/>
  <c r="C668" i="13"/>
  <c r="J686" i="13" s="1"/>
  <c r="K686" i="13" s="1"/>
  <c r="A369" i="13"/>
  <c r="B369" i="13" s="1"/>
  <c r="C368" i="13"/>
  <c r="J386" i="13" s="1"/>
  <c r="C168" i="13"/>
  <c r="J185" i="13"/>
  <c r="K185" i="13" s="1"/>
  <c r="A169" i="13"/>
  <c r="B168" i="13"/>
  <c r="K86" i="13"/>
  <c r="B12" i="5"/>
  <c r="F18" i="1"/>
  <c r="S767" i="13" l="1"/>
  <c r="S667" i="13"/>
  <c r="D12" i="5"/>
  <c r="M12" i="5" s="1"/>
  <c r="H12" i="5"/>
  <c r="Q12" i="5" s="1"/>
  <c r="E12" i="5"/>
  <c r="N12" i="5" s="1"/>
  <c r="I12" i="5"/>
  <c r="R12" i="5" s="1"/>
  <c r="J12" i="5"/>
  <c r="S12" i="5" s="1"/>
  <c r="F12" i="5"/>
  <c r="O12" i="5" s="1"/>
  <c r="K12" i="5"/>
  <c r="T12" i="5" s="1"/>
  <c r="G12" i="5"/>
  <c r="P12" i="5" s="1"/>
  <c r="S167" i="13"/>
  <c r="S367" i="13"/>
  <c r="J584" i="13"/>
  <c r="K584" i="13" s="1"/>
  <c r="C567" i="13"/>
  <c r="S566" i="13" s="1"/>
  <c r="A468" i="13"/>
  <c r="B467" i="13"/>
  <c r="A588" i="13"/>
  <c r="L587" i="13"/>
  <c r="G587" i="13" s="1"/>
  <c r="M587" i="13"/>
  <c r="C467" i="13"/>
  <c r="S466" i="13" s="1"/>
  <c r="J484" i="13"/>
  <c r="K484" i="13" s="1"/>
  <c r="B567" i="13"/>
  <c r="A568" i="13"/>
  <c r="A787" i="13"/>
  <c r="M786" i="13"/>
  <c r="L786" i="13"/>
  <c r="G786" i="13" s="1"/>
  <c r="A688" i="13"/>
  <c r="L687" i="13"/>
  <c r="G687" i="13" s="1"/>
  <c r="M687" i="13"/>
  <c r="L487" i="13"/>
  <c r="G487" i="13" s="1"/>
  <c r="A488" i="13"/>
  <c r="M487" i="13"/>
  <c r="K386" i="13"/>
  <c r="A270" i="13"/>
  <c r="B270" i="13" s="1"/>
  <c r="B269" i="13"/>
  <c r="C269" i="13"/>
  <c r="S268" i="13" s="1"/>
  <c r="J286" i="13"/>
  <c r="K286" i="13" s="1"/>
  <c r="A288" i="13"/>
  <c r="M287" i="13"/>
  <c r="L287" i="13"/>
  <c r="G287" i="13" s="1"/>
  <c r="L188" i="13"/>
  <c r="G188" i="13" s="1"/>
  <c r="M188" i="13"/>
  <c r="A189" i="13"/>
  <c r="C769" i="13"/>
  <c r="J787" i="13" s="1"/>
  <c r="K787" i="13" s="1"/>
  <c r="A770" i="13"/>
  <c r="B770" i="13" s="1"/>
  <c r="C669" i="13"/>
  <c r="J687" i="13" s="1"/>
  <c r="K687" i="13" s="1"/>
  <c r="A670" i="13"/>
  <c r="B670" i="13" s="1"/>
  <c r="C369" i="13"/>
  <c r="J387" i="13" s="1"/>
  <c r="A370" i="13"/>
  <c r="B370" i="13" s="1"/>
  <c r="B169" i="13"/>
  <c r="A170" i="13"/>
  <c r="B170" i="13" s="1"/>
  <c r="C169" i="13"/>
  <c r="J186" i="13"/>
  <c r="K186" i="13" s="1"/>
  <c r="K87" i="13"/>
  <c r="F21" i="1"/>
  <c r="F24" i="1" s="1"/>
  <c r="F25" i="1" s="1"/>
  <c r="F26" i="1" s="1"/>
  <c r="B317" i="13"/>
  <c r="F318" i="13" s="1"/>
  <c r="F321" i="13" s="1"/>
  <c r="F324" i="13" s="1"/>
  <c r="F325" i="13" s="1"/>
  <c r="F326" i="13" s="1"/>
  <c r="B117" i="13"/>
  <c r="F118" i="13" s="1"/>
  <c r="F121" i="13" s="1"/>
  <c r="F124" i="13" s="1"/>
  <c r="F125" i="13" s="1"/>
  <c r="F126" i="13" s="1"/>
  <c r="B717" i="13"/>
  <c r="F718" i="13" s="1"/>
  <c r="F721" i="13" s="1"/>
  <c r="F724" i="13" s="1"/>
  <c r="F725" i="13" s="1"/>
  <c r="F726" i="13" s="1"/>
  <c r="B517" i="13"/>
  <c r="F518" i="13" s="1"/>
  <c r="F521" i="13" s="1"/>
  <c r="F524" i="13" s="1"/>
  <c r="F525" i="13" s="1"/>
  <c r="F526" i="13" s="1"/>
  <c r="B617" i="13"/>
  <c r="F618" i="13" s="1"/>
  <c r="F621" i="13" s="1"/>
  <c r="F624" i="13" s="1"/>
  <c r="F625" i="13" s="1"/>
  <c r="F626" i="13" s="1"/>
  <c r="S368" i="13" l="1"/>
  <c r="S768" i="13"/>
  <c r="B217" i="13"/>
  <c r="F218" i="13" s="1"/>
  <c r="F221" i="13" s="1"/>
  <c r="F224" i="13" s="1"/>
  <c r="F225" i="13" s="1"/>
  <c r="F226" i="13" s="1"/>
  <c r="N287" i="13" s="1"/>
  <c r="S168" i="13"/>
  <c r="B17" i="13"/>
  <c r="F18" i="13" s="1"/>
  <c r="F21" i="13" s="1"/>
  <c r="F24" i="13" s="1"/>
  <c r="F25" i="13" s="1"/>
  <c r="F26" i="13" s="1"/>
  <c r="B417" i="13"/>
  <c r="F418" i="13" s="1"/>
  <c r="F421" i="13" s="1"/>
  <c r="F424" i="13" s="1"/>
  <c r="F425" i="13" s="1"/>
  <c r="F426" i="13" s="1"/>
  <c r="N487" i="13" s="1"/>
  <c r="S668" i="13"/>
  <c r="B568" i="13"/>
  <c r="A569" i="13"/>
  <c r="A469" i="13"/>
  <c r="B468" i="13"/>
  <c r="A589" i="13"/>
  <c r="L588" i="13"/>
  <c r="G588" i="13" s="1"/>
  <c r="M588" i="13"/>
  <c r="J585" i="13"/>
  <c r="K585" i="13" s="1"/>
  <c r="C568" i="13"/>
  <c r="S567" i="13" s="1"/>
  <c r="A788" i="13"/>
  <c r="L787" i="13"/>
  <c r="G787" i="13" s="1"/>
  <c r="M787" i="13"/>
  <c r="C468" i="13"/>
  <c r="S467" i="13" s="1"/>
  <c r="J485" i="13"/>
  <c r="K485" i="13" s="1"/>
  <c r="N777" i="13"/>
  <c r="N781" i="13"/>
  <c r="N785" i="13"/>
  <c r="N789" i="13"/>
  <c r="N779" i="13"/>
  <c r="N787" i="13"/>
  <c r="N780" i="13"/>
  <c r="N788" i="13"/>
  <c r="N778" i="13"/>
  <c r="N782" i="13"/>
  <c r="N786" i="13"/>
  <c r="F786" i="13" s="1"/>
  <c r="N775" i="13"/>
  <c r="N783" i="13"/>
  <c r="N776" i="13"/>
  <c r="N784" i="13"/>
  <c r="N677" i="13"/>
  <c r="N686" i="13"/>
  <c r="F686" i="13" s="1"/>
  <c r="N678" i="13"/>
  <c r="N685" i="13"/>
  <c r="N679" i="13"/>
  <c r="N688" i="13"/>
  <c r="N680" i="13"/>
  <c r="N687" i="13"/>
  <c r="N684" i="13"/>
  <c r="N676" i="13"/>
  <c r="N683" i="13"/>
  <c r="N682" i="13"/>
  <c r="N675" i="13"/>
  <c r="N681" i="13"/>
  <c r="N689" i="13"/>
  <c r="N578" i="13"/>
  <c r="N582" i="13"/>
  <c r="N586" i="13"/>
  <c r="N575" i="13"/>
  <c r="N576" i="13"/>
  <c r="N579" i="13"/>
  <c r="N583" i="13"/>
  <c r="N587" i="13"/>
  <c r="N585" i="13"/>
  <c r="N577" i="13"/>
  <c r="N580" i="13"/>
  <c r="N584" i="13"/>
  <c r="N588" i="13"/>
  <c r="N581" i="13"/>
  <c r="N589" i="13"/>
  <c r="N479" i="13"/>
  <c r="N483" i="13"/>
  <c r="N476" i="13"/>
  <c r="N484" i="13"/>
  <c r="N482" i="13"/>
  <c r="N481" i="13"/>
  <c r="N378" i="13"/>
  <c r="N382" i="13"/>
  <c r="N386" i="13"/>
  <c r="F386" i="13" s="1"/>
  <c r="N375" i="13"/>
  <c r="N377" i="13"/>
  <c r="N379" i="13"/>
  <c r="N383" i="13"/>
  <c r="N387" i="13"/>
  <c r="N376" i="13"/>
  <c r="N380" i="13"/>
  <c r="N384" i="13"/>
  <c r="N388" i="13"/>
  <c r="N381" i="13"/>
  <c r="N385" i="13"/>
  <c r="N389" i="13"/>
  <c r="N178" i="13"/>
  <c r="N186" i="13"/>
  <c r="F186" i="13" s="1"/>
  <c r="N179" i="13"/>
  <c r="N187" i="13"/>
  <c r="N183" i="13"/>
  <c r="N176" i="13"/>
  <c r="N177" i="13"/>
  <c r="N180" i="13"/>
  <c r="N188" i="13"/>
  <c r="N181" i="13"/>
  <c r="N189" i="13"/>
  <c r="N175" i="13"/>
  <c r="N184" i="13"/>
  <c r="N185" i="13"/>
  <c r="N182" i="13"/>
  <c r="A689" i="13"/>
  <c r="L688" i="13"/>
  <c r="G688" i="13" s="1"/>
  <c r="M688" i="13"/>
  <c r="A489" i="13"/>
  <c r="L488" i="13"/>
  <c r="G488" i="13" s="1"/>
  <c r="M488" i="13"/>
  <c r="K387" i="13"/>
  <c r="A289" i="13"/>
  <c r="L288" i="13"/>
  <c r="G288" i="13" s="1"/>
  <c r="M288" i="13"/>
  <c r="C270" i="13"/>
  <c r="J289" i="13" s="1"/>
  <c r="J287" i="13"/>
  <c r="K287" i="13" s="1"/>
  <c r="L189" i="13"/>
  <c r="G189" i="13" s="1"/>
  <c r="M189" i="13"/>
  <c r="C770" i="13"/>
  <c r="J789" i="13" s="1"/>
  <c r="E686" i="13"/>
  <c r="C670" i="13"/>
  <c r="J689" i="13" s="1"/>
  <c r="C370" i="13"/>
  <c r="J389" i="13" s="1"/>
  <c r="C170" i="13"/>
  <c r="J189" i="13" s="1"/>
  <c r="J187" i="13"/>
  <c r="K187" i="13" s="1"/>
  <c r="K88" i="13"/>
  <c r="N15" i="4"/>
  <c r="N6" i="4"/>
  <c r="N14" i="4"/>
  <c r="N9" i="4"/>
  <c r="N4" i="4"/>
  <c r="N16" i="4"/>
  <c r="N12" i="4"/>
  <c r="N10" i="4"/>
  <c r="N13" i="4"/>
  <c r="N17" i="4"/>
  <c r="N11" i="4"/>
  <c r="N7" i="4"/>
  <c r="N8" i="4"/>
  <c r="N18" i="4"/>
  <c r="N5" i="4"/>
  <c r="N477" i="13" l="1"/>
  <c r="N486" i="13"/>
  <c r="N485" i="13"/>
  <c r="F485" i="13" s="1"/>
  <c r="N488" i="13"/>
  <c r="N478" i="13"/>
  <c r="F478" i="13" s="1"/>
  <c r="N489" i="13"/>
  <c r="N475" i="13"/>
  <c r="E475" i="13" s="1"/>
  <c r="N480" i="13"/>
  <c r="E480" i="13" s="1"/>
  <c r="N282" i="13"/>
  <c r="F282" i="13" s="1"/>
  <c r="N280" i="13"/>
  <c r="E280" i="13" s="1"/>
  <c r="N284" i="13"/>
  <c r="F284" i="13" s="1"/>
  <c r="N288" i="13"/>
  <c r="N281" i="13"/>
  <c r="F281" i="13" s="1"/>
  <c r="N279" i="13"/>
  <c r="E279" i="13" s="1"/>
  <c r="N277" i="13"/>
  <c r="E277" i="13" s="1"/>
  <c r="N275" i="13"/>
  <c r="F275" i="13" s="1"/>
  <c r="N286" i="13"/>
  <c r="N285" i="13"/>
  <c r="E285" i="13" s="1"/>
  <c r="N283" i="13"/>
  <c r="F283" i="13" s="1"/>
  <c r="N278" i="13"/>
  <c r="F278" i="13" s="1"/>
  <c r="N276" i="13"/>
  <c r="F276" i="13" s="1"/>
  <c r="N289" i="13"/>
  <c r="N75" i="13"/>
  <c r="F75" i="13" s="1"/>
  <c r="N79" i="13"/>
  <c r="F79" i="13" s="1"/>
  <c r="N83" i="13"/>
  <c r="F83" i="13" s="1"/>
  <c r="N87" i="13"/>
  <c r="F87" i="13" s="1"/>
  <c r="N76" i="13"/>
  <c r="F76" i="13" s="1"/>
  <c r="N84" i="13"/>
  <c r="F84" i="13" s="1"/>
  <c r="N81" i="13"/>
  <c r="F81" i="13" s="1"/>
  <c r="N88" i="13"/>
  <c r="F88" i="13" s="1"/>
  <c r="N77" i="13"/>
  <c r="F77" i="13" s="1"/>
  <c r="N85" i="13"/>
  <c r="F85" i="13" s="1"/>
  <c r="N89" i="13"/>
  <c r="N80" i="13"/>
  <c r="F80" i="13" s="1"/>
  <c r="N78" i="13"/>
  <c r="F78" i="13" s="1"/>
  <c r="N82" i="13"/>
  <c r="F82" i="13" s="1"/>
  <c r="N86" i="13"/>
  <c r="F86" i="13" s="1"/>
  <c r="S769" i="13"/>
  <c r="S770" i="13" s="1"/>
  <c r="S369" i="13"/>
  <c r="S370" i="13" s="1"/>
  <c r="S669" i="13"/>
  <c r="S670" i="13" s="1"/>
  <c r="S169" i="13"/>
  <c r="S170" i="13" s="1"/>
  <c r="S269" i="13"/>
  <c r="S270" i="13" s="1"/>
  <c r="E687" i="13"/>
  <c r="E386" i="13"/>
  <c r="C386" i="13" s="1"/>
  <c r="E186" i="13"/>
  <c r="C186" i="13" s="1"/>
  <c r="F387" i="13"/>
  <c r="C469" i="13"/>
  <c r="S468" i="13" s="1"/>
  <c r="J486" i="13"/>
  <c r="K486" i="13" s="1"/>
  <c r="M788" i="13"/>
  <c r="L788" i="13"/>
  <c r="G788" i="13" s="1"/>
  <c r="A789" i="13"/>
  <c r="B469" i="13"/>
  <c r="A470" i="13"/>
  <c r="B470" i="13" s="1"/>
  <c r="B569" i="13"/>
  <c r="A570" i="13"/>
  <c r="B570" i="13" s="1"/>
  <c r="J586" i="13"/>
  <c r="K586" i="13" s="1"/>
  <c r="C569" i="13"/>
  <c r="S568" i="13" s="1"/>
  <c r="L589" i="13"/>
  <c r="G589" i="13" s="1"/>
  <c r="M589" i="13"/>
  <c r="F784" i="13"/>
  <c r="E784" i="13"/>
  <c r="F785" i="13"/>
  <c r="E785" i="13"/>
  <c r="F776" i="13"/>
  <c r="E776" i="13"/>
  <c r="F782" i="13"/>
  <c r="E782" i="13"/>
  <c r="F781" i="13"/>
  <c r="E781" i="13"/>
  <c r="E775" i="13"/>
  <c r="F775" i="13"/>
  <c r="E780" i="13"/>
  <c r="F780" i="13"/>
  <c r="E786" i="13"/>
  <c r="C786" i="13" s="1"/>
  <c r="F783" i="13"/>
  <c r="E783" i="13"/>
  <c r="F778" i="13"/>
  <c r="E778" i="13"/>
  <c r="F779" i="13"/>
  <c r="E779" i="13"/>
  <c r="F777" i="13"/>
  <c r="E777" i="13"/>
  <c r="F683" i="13"/>
  <c r="E683" i="13"/>
  <c r="E680" i="13"/>
  <c r="F680" i="13"/>
  <c r="F678" i="13"/>
  <c r="E678" i="13"/>
  <c r="C686" i="13"/>
  <c r="F681" i="13"/>
  <c r="E681" i="13"/>
  <c r="F676" i="13"/>
  <c r="E676" i="13"/>
  <c r="E675" i="13"/>
  <c r="F675" i="13"/>
  <c r="E684" i="13"/>
  <c r="F684" i="13"/>
  <c r="F679" i="13"/>
  <c r="E679" i="13"/>
  <c r="F677" i="13"/>
  <c r="E677" i="13"/>
  <c r="E682" i="13"/>
  <c r="F682" i="13"/>
  <c r="F685" i="13"/>
  <c r="E685" i="13"/>
  <c r="E584" i="13"/>
  <c r="F584" i="13"/>
  <c r="E575" i="13"/>
  <c r="F575" i="13"/>
  <c r="E580" i="13"/>
  <c r="F580" i="13"/>
  <c r="E583" i="13"/>
  <c r="F583" i="13"/>
  <c r="F581" i="13"/>
  <c r="E581" i="13"/>
  <c r="E577" i="13"/>
  <c r="F577" i="13"/>
  <c r="E579" i="13"/>
  <c r="F579" i="13"/>
  <c r="F582" i="13"/>
  <c r="E582" i="13"/>
  <c r="E585" i="13"/>
  <c r="F585" i="13"/>
  <c r="F576" i="13"/>
  <c r="E576" i="13"/>
  <c r="E578" i="13"/>
  <c r="F578" i="13"/>
  <c r="E477" i="13"/>
  <c r="F477" i="13"/>
  <c r="E478" i="13"/>
  <c r="E482" i="13"/>
  <c r="F482" i="13"/>
  <c r="F476" i="13"/>
  <c r="E476" i="13"/>
  <c r="E483" i="13"/>
  <c r="F483" i="13"/>
  <c r="F484" i="13"/>
  <c r="E484" i="13"/>
  <c r="F481" i="13"/>
  <c r="E481" i="13"/>
  <c r="F479" i="13"/>
  <c r="E479" i="13"/>
  <c r="F384" i="13"/>
  <c r="E384" i="13"/>
  <c r="E383" i="13"/>
  <c r="F383" i="13"/>
  <c r="E385" i="13"/>
  <c r="F385" i="13"/>
  <c r="E380" i="13"/>
  <c r="F380" i="13"/>
  <c r="E379" i="13"/>
  <c r="F379" i="13"/>
  <c r="F382" i="13"/>
  <c r="E382" i="13"/>
  <c r="F381" i="13"/>
  <c r="E381" i="13"/>
  <c r="E376" i="13"/>
  <c r="F376" i="13"/>
  <c r="F377" i="13"/>
  <c r="E377" i="13"/>
  <c r="F378" i="13"/>
  <c r="E378" i="13"/>
  <c r="E375" i="13"/>
  <c r="F375" i="13"/>
  <c r="F175" i="13"/>
  <c r="E175" i="13"/>
  <c r="E180" i="13"/>
  <c r="F180" i="13"/>
  <c r="E182" i="13"/>
  <c r="F182" i="13"/>
  <c r="F177" i="13"/>
  <c r="E177" i="13"/>
  <c r="E179" i="13"/>
  <c r="F179" i="13"/>
  <c r="E185" i="13"/>
  <c r="F185" i="13"/>
  <c r="F181" i="13"/>
  <c r="E181" i="13"/>
  <c r="F176" i="13"/>
  <c r="E176" i="13"/>
  <c r="E184" i="13"/>
  <c r="F184" i="13"/>
  <c r="E183" i="13"/>
  <c r="F183" i="13"/>
  <c r="E178" i="13"/>
  <c r="F178" i="13"/>
  <c r="J788" i="13"/>
  <c r="K788" i="13" s="1"/>
  <c r="J688" i="13"/>
  <c r="K688" i="13" s="1"/>
  <c r="L689" i="13"/>
  <c r="G689" i="13" s="1"/>
  <c r="M689" i="13"/>
  <c r="L489" i="13"/>
  <c r="G489" i="13" s="1"/>
  <c r="M489" i="13"/>
  <c r="J388" i="13"/>
  <c r="K388" i="13" s="1"/>
  <c r="E287" i="13"/>
  <c r="F287" i="13"/>
  <c r="L289" i="13"/>
  <c r="G289" i="13" s="1"/>
  <c r="M289" i="13"/>
  <c r="J288" i="13"/>
  <c r="K288" i="13" s="1"/>
  <c r="E787" i="13"/>
  <c r="F787" i="13"/>
  <c r="F687" i="13"/>
  <c r="E387" i="13"/>
  <c r="E187" i="13"/>
  <c r="F187" i="13"/>
  <c r="J188" i="13"/>
  <c r="K188" i="13" s="1"/>
  <c r="K89" i="13"/>
  <c r="E485" i="13" l="1"/>
  <c r="F475" i="13"/>
  <c r="F480" i="13"/>
  <c r="C480" i="13" s="1"/>
  <c r="E284" i="13"/>
  <c r="F280" i="13"/>
  <c r="F285" i="13"/>
  <c r="C285" i="13" s="1"/>
  <c r="F279" i="13"/>
  <c r="C279" i="13" s="1"/>
  <c r="E282" i="13"/>
  <c r="C282" i="13" s="1"/>
  <c r="F277" i="13"/>
  <c r="C277" i="13" s="1"/>
  <c r="E275" i="13"/>
  <c r="E278" i="13"/>
  <c r="C278" i="13" s="1"/>
  <c r="E276" i="13"/>
  <c r="C276" i="13" s="1"/>
  <c r="E281" i="13"/>
  <c r="C281" i="13" s="1"/>
  <c r="E283" i="13"/>
  <c r="C283" i="13" s="1"/>
  <c r="F286" i="13"/>
  <c r="E286" i="13"/>
  <c r="C687" i="13"/>
  <c r="D687" i="13" s="1"/>
  <c r="J80" i="5" s="1"/>
  <c r="E61" i="5"/>
  <c r="D186" i="13"/>
  <c r="E79" i="5" s="1"/>
  <c r="J61" i="5"/>
  <c r="D686" i="13"/>
  <c r="J79" i="5" s="1"/>
  <c r="G61" i="5"/>
  <c r="D386" i="13"/>
  <c r="G79" i="5" s="1"/>
  <c r="K61" i="5"/>
  <c r="D786" i="13"/>
  <c r="K79" i="5" s="1"/>
  <c r="C387" i="13"/>
  <c r="K689" i="13"/>
  <c r="F689" i="13" s="1"/>
  <c r="C284" i="13"/>
  <c r="C478" i="13"/>
  <c r="C581" i="13"/>
  <c r="C775" i="13"/>
  <c r="C782" i="13"/>
  <c r="C785" i="13"/>
  <c r="C287" i="13"/>
  <c r="K789" i="13"/>
  <c r="F789" i="13" s="1"/>
  <c r="C181" i="13"/>
  <c r="C377" i="13"/>
  <c r="C381" i="13"/>
  <c r="C583" i="13"/>
  <c r="C684" i="13"/>
  <c r="K389" i="13"/>
  <c r="F389" i="13" s="1"/>
  <c r="F388" i="13"/>
  <c r="E688" i="13"/>
  <c r="K189" i="13"/>
  <c r="F189" i="13" s="1"/>
  <c r="C678" i="13"/>
  <c r="C683" i="13"/>
  <c r="F688" i="13"/>
  <c r="E586" i="13"/>
  <c r="F586" i="13"/>
  <c r="C183" i="13"/>
  <c r="C185" i="13"/>
  <c r="C376" i="13"/>
  <c r="C479" i="13"/>
  <c r="C682" i="13"/>
  <c r="C675" i="13"/>
  <c r="E486" i="13"/>
  <c r="F486" i="13"/>
  <c r="C384" i="13"/>
  <c r="C484" i="13"/>
  <c r="C476" i="13"/>
  <c r="C485" i="13"/>
  <c r="C685" i="13"/>
  <c r="C677" i="13"/>
  <c r="C680" i="13"/>
  <c r="C781" i="13"/>
  <c r="C776" i="13"/>
  <c r="C784" i="13"/>
  <c r="J587" i="13"/>
  <c r="K587" i="13" s="1"/>
  <c r="C570" i="13"/>
  <c r="J589" i="13" s="1"/>
  <c r="M789" i="13"/>
  <c r="L789" i="13"/>
  <c r="G789" i="13" s="1"/>
  <c r="C470" i="13"/>
  <c r="J489" i="13" s="1"/>
  <c r="J487" i="13"/>
  <c r="K487" i="13" s="1"/>
  <c r="C777" i="13"/>
  <c r="C778" i="13"/>
  <c r="C779" i="13"/>
  <c r="C783" i="13"/>
  <c r="C780" i="13"/>
  <c r="C676" i="13"/>
  <c r="C679" i="13"/>
  <c r="C681" i="13"/>
  <c r="C576" i="13"/>
  <c r="C582" i="13"/>
  <c r="C577" i="13"/>
  <c r="C575" i="13"/>
  <c r="C578" i="13"/>
  <c r="C585" i="13"/>
  <c r="C579" i="13"/>
  <c r="C580" i="13"/>
  <c r="C584" i="13"/>
  <c r="C483" i="13"/>
  <c r="C482" i="13"/>
  <c r="C475" i="13"/>
  <c r="C481" i="13"/>
  <c r="C477" i="13"/>
  <c r="C375" i="13"/>
  <c r="C379" i="13"/>
  <c r="C385" i="13"/>
  <c r="C378" i="13"/>
  <c r="C382" i="13"/>
  <c r="C380" i="13"/>
  <c r="C383" i="13"/>
  <c r="C280" i="13"/>
  <c r="C275" i="13"/>
  <c r="C176" i="13"/>
  <c r="C177" i="13"/>
  <c r="C180" i="13"/>
  <c r="C178" i="13"/>
  <c r="C184" i="13"/>
  <c r="C179" i="13"/>
  <c r="C182" i="13"/>
  <c r="E388" i="13"/>
  <c r="K289" i="13"/>
  <c r="F289" i="13" s="1"/>
  <c r="F288" i="13"/>
  <c r="E288" i="13"/>
  <c r="C787" i="13"/>
  <c r="F788" i="13"/>
  <c r="E788" i="13"/>
  <c r="C187" i="13"/>
  <c r="E188" i="13"/>
  <c r="F188" i="13"/>
  <c r="F89" i="13"/>
  <c r="E689" i="13" l="1"/>
  <c r="C286" i="13"/>
  <c r="F61" i="5" s="1"/>
  <c r="S569" i="13"/>
  <c r="S570" i="13" s="1"/>
  <c r="S469" i="13"/>
  <c r="S470" i="13" s="1"/>
  <c r="J62" i="5"/>
  <c r="E54" i="5"/>
  <c r="D179" i="13"/>
  <c r="E72" i="5" s="1"/>
  <c r="E52" i="5"/>
  <c r="D177" i="13"/>
  <c r="E70" i="5" s="1"/>
  <c r="F58" i="5"/>
  <c r="D283" i="13"/>
  <c r="F76" i="5" s="1"/>
  <c r="G57" i="5"/>
  <c r="D382" i="13"/>
  <c r="G75" i="5" s="1"/>
  <c r="G50" i="5"/>
  <c r="D375" i="13"/>
  <c r="G68" i="5" s="1"/>
  <c r="H57" i="5"/>
  <c r="D482" i="13"/>
  <c r="H75" i="5" s="1"/>
  <c r="I54" i="5"/>
  <c r="D579" i="13"/>
  <c r="I72" i="5" s="1"/>
  <c r="I52" i="5"/>
  <c r="D577" i="13"/>
  <c r="I70" i="5" s="1"/>
  <c r="J54" i="5"/>
  <c r="D679" i="13"/>
  <c r="J72" i="5" s="1"/>
  <c r="J60" i="5"/>
  <c r="D685" i="13"/>
  <c r="J78" i="5" s="1"/>
  <c r="H59" i="5"/>
  <c r="D484" i="13"/>
  <c r="H77" i="5" s="1"/>
  <c r="J50" i="5"/>
  <c r="D675" i="13"/>
  <c r="J68" i="5" s="1"/>
  <c r="F51" i="5"/>
  <c r="D276" i="13"/>
  <c r="F69" i="5" s="1"/>
  <c r="J59" i="5"/>
  <c r="D684" i="13"/>
  <c r="J77" i="5" s="1"/>
  <c r="F56" i="5"/>
  <c r="D281" i="13"/>
  <c r="F74" i="5" s="1"/>
  <c r="E56" i="5"/>
  <c r="D181" i="13"/>
  <c r="E74" i="5" s="1"/>
  <c r="H53" i="5"/>
  <c r="D478" i="13"/>
  <c r="H71" i="5" s="1"/>
  <c r="E59" i="5"/>
  <c r="D184" i="13"/>
  <c r="E77" i="5" s="1"/>
  <c r="E51" i="5"/>
  <c r="D176" i="13"/>
  <c r="E69" i="5" s="1"/>
  <c r="F55" i="5"/>
  <c r="D280" i="13"/>
  <c r="F73" i="5" s="1"/>
  <c r="G53" i="5"/>
  <c r="D378" i="13"/>
  <c r="G71" i="5" s="1"/>
  <c r="H52" i="5"/>
  <c r="D477" i="13"/>
  <c r="H70" i="5" s="1"/>
  <c r="H58" i="5"/>
  <c r="D483" i="13"/>
  <c r="H76" i="5" s="1"/>
  <c r="I60" i="5"/>
  <c r="D585" i="13"/>
  <c r="I78" i="5" s="1"/>
  <c r="I57" i="5"/>
  <c r="D582" i="13"/>
  <c r="I75" i="5" s="1"/>
  <c r="J51" i="5"/>
  <c r="D676" i="13"/>
  <c r="J69" i="5" s="1"/>
  <c r="H55" i="5"/>
  <c r="D480" i="13"/>
  <c r="H73" i="5" s="1"/>
  <c r="G59" i="5"/>
  <c r="D384" i="13"/>
  <c r="G77" i="5" s="1"/>
  <c r="J57" i="5"/>
  <c r="D682" i="13"/>
  <c r="J75" i="5" s="1"/>
  <c r="E60" i="5"/>
  <c r="D185" i="13"/>
  <c r="E78" i="5" s="1"/>
  <c r="I58" i="5"/>
  <c r="D583" i="13"/>
  <c r="I76" i="5" s="1"/>
  <c r="F52" i="5"/>
  <c r="D277" i="13"/>
  <c r="F70" i="5" s="1"/>
  <c r="F59" i="5"/>
  <c r="D284" i="13"/>
  <c r="F77" i="5" s="1"/>
  <c r="F54" i="5"/>
  <c r="D279" i="13"/>
  <c r="F72" i="5" s="1"/>
  <c r="G58" i="5"/>
  <c r="D383" i="13"/>
  <c r="G76" i="5" s="1"/>
  <c r="G60" i="5"/>
  <c r="D385" i="13"/>
  <c r="G78" i="5" s="1"/>
  <c r="H56" i="5"/>
  <c r="D481" i="13"/>
  <c r="H74" i="5" s="1"/>
  <c r="I59" i="5"/>
  <c r="D584" i="13"/>
  <c r="I77" i="5" s="1"/>
  <c r="I53" i="5"/>
  <c r="D578" i="13"/>
  <c r="I71" i="5" s="1"/>
  <c r="I51" i="5"/>
  <c r="D576" i="13"/>
  <c r="I69" i="5" s="1"/>
  <c r="J55" i="5"/>
  <c r="D680" i="13"/>
  <c r="J73" i="5" s="1"/>
  <c r="H60" i="5"/>
  <c r="D485" i="13"/>
  <c r="H78" i="5" s="1"/>
  <c r="H54" i="5"/>
  <c r="D479" i="13"/>
  <c r="H72" i="5" s="1"/>
  <c r="E58" i="5"/>
  <c r="D183" i="13"/>
  <c r="E76" i="5" s="1"/>
  <c r="J58" i="5"/>
  <c r="D683" i="13"/>
  <c r="J76" i="5" s="1"/>
  <c r="G56" i="5"/>
  <c r="D381" i="13"/>
  <c r="G74" i="5" s="1"/>
  <c r="F60" i="5"/>
  <c r="D285" i="13"/>
  <c r="F78" i="5" s="1"/>
  <c r="F62" i="5"/>
  <c r="D287" i="13"/>
  <c r="F80" i="5" s="1"/>
  <c r="E53" i="5"/>
  <c r="D178" i="13"/>
  <c r="E71" i="5" s="1"/>
  <c r="E62" i="5"/>
  <c r="D187" i="13"/>
  <c r="E80" i="5" s="1"/>
  <c r="E57" i="5"/>
  <c r="D182" i="13"/>
  <c r="E75" i="5" s="1"/>
  <c r="E55" i="5"/>
  <c r="D180" i="13"/>
  <c r="E73" i="5" s="1"/>
  <c r="F50" i="5"/>
  <c r="D275" i="13"/>
  <c r="F68" i="5" s="1"/>
  <c r="G55" i="5"/>
  <c r="D380" i="13"/>
  <c r="G73" i="5" s="1"/>
  <c r="G54" i="5"/>
  <c r="D379" i="13"/>
  <c r="G72" i="5" s="1"/>
  <c r="H50" i="5"/>
  <c r="D475" i="13"/>
  <c r="H68" i="5" s="1"/>
  <c r="I55" i="5"/>
  <c r="D580" i="13"/>
  <c r="I73" i="5" s="1"/>
  <c r="I50" i="5"/>
  <c r="D575" i="13"/>
  <c r="I68" i="5" s="1"/>
  <c r="J56" i="5"/>
  <c r="D681" i="13"/>
  <c r="J74" i="5" s="1"/>
  <c r="J52" i="5"/>
  <c r="D677" i="13"/>
  <c r="J70" i="5" s="1"/>
  <c r="H51" i="5"/>
  <c r="D476" i="13"/>
  <c r="H69" i="5" s="1"/>
  <c r="G51" i="5"/>
  <c r="D376" i="13"/>
  <c r="G69" i="5" s="1"/>
  <c r="J53" i="5"/>
  <c r="D678" i="13"/>
  <c r="J71" i="5" s="1"/>
  <c r="G52" i="5"/>
  <c r="D377" i="13"/>
  <c r="G70" i="5" s="1"/>
  <c r="F53" i="5"/>
  <c r="D278" i="13"/>
  <c r="F71" i="5" s="1"/>
  <c r="F57" i="5"/>
  <c r="D282" i="13"/>
  <c r="F75" i="5" s="1"/>
  <c r="I56" i="5"/>
  <c r="D581" i="13"/>
  <c r="I74" i="5" s="1"/>
  <c r="G62" i="5"/>
  <c r="D387" i="13"/>
  <c r="G80" i="5" s="1"/>
  <c r="K56" i="5"/>
  <c r="D781" i="13"/>
  <c r="K74" i="5" s="1"/>
  <c r="K55" i="5"/>
  <c r="D780" i="13"/>
  <c r="K73" i="5" s="1"/>
  <c r="K52" i="5"/>
  <c r="D777" i="13"/>
  <c r="K70" i="5" s="1"/>
  <c r="K50" i="5"/>
  <c r="D775" i="13"/>
  <c r="K68" i="5" s="1"/>
  <c r="K58" i="5"/>
  <c r="D783" i="13"/>
  <c r="K76" i="5" s="1"/>
  <c r="K59" i="5"/>
  <c r="D784" i="13"/>
  <c r="K77" i="5" s="1"/>
  <c r="K53" i="5"/>
  <c r="D778" i="13"/>
  <c r="K71" i="5" s="1"/>
  <c r="K57" i="5"/>
  <c r="D782" i="13"/>
  <c r="K75" i="5" s="1"/>
  <c r="K62" i="5"/>
  <c r="D787" i="13"/>
  <c r="K80" i="5" s="1"/>
  <c r="K54" i="5"/>
  <c r="D779" i="13"/>
  <c r="K72" i="5" s="1"/>
  <c r="K51" i="5"/>
  <c r="D776" i="13"/>
  <c r="K69" i="5" s="1"/>
  <c r="K60" i="5"/>
  <c r="D785" i="13"/>
  <c r="K78" i="5" s="1"/>
  <c r="C688" i="13"/>
  <c r="E789" i="13"/>
  <c r="C789" i="13" s="1"/>
  <c r="E189" i="13"/>
  <c r="C189" i="13" s="1"/>
  <c r="E289" i="13"/>
  <c r="C289" i="13" s="1"/>
  <c r="E389" i="13"/>
  <c r="C389" i="13" s="1"/>
  <c r="C388" i="13"/>
  <c r="C586" i="13"/>
  <c r="J488" i="13"/>
  <c r="K488" i="13" s="1"/>
  <c r="J588" i="13"/>
  <c r="K588" i="13" s="1"/>
  <c r="F587" i="13"/>
  <c r="E587" i="13"/>
  <c r="E487" i="13"/>
  <c r="F487" i="13"/>
  <c r="C486" i="13"/>
  <c r="C288" i="13"/>
  <c r="C788" i="13"/>
  <c r="C188" i="13"/>
  <c r="C689" i="13"/>
  <c r="D286" i="13" l="1"/>
  <c r="F79" i="5" s="1"/>
  <c r="E63" i="5"/>
  <c r="D188" i="13"/>
  <c r="E81" i="5" s="1"/>
  <c r="I61" i="5"/>
  <c r="D586" i="13"/>
  <c r="I79" i="5" s="1"/>
  <c r="F63" i="5"/>
  <c r="D288" i="13"/>
  <c r="F81" i="5" s="1"/>
  <c r="F64" i="5"/>
  <c r="D289" i="13"/>
  <c r="F82" i="5" s="1"/>
  <c r="E64" i="5"/>
  <c r="D189" i="13"/>
  <c r="E82" i="5" s="1"/>
  <c r="G63" i="5"/>
  <c r="D388" i="13"/>
  <c r="G81" i="5" s="1"/>
  <c r="J64" i="5"/>
  <c r="D689" i="13"/>
  <c r="J82" i="5" s="1"/>
  <c r="H61" i="5"/>
  <c r="D486" i="13"/>
  <c r="H79" i="5" s="1"/>
  <c r="G64" i="5"/>
  <c r="D389" i="13"/>
  <c r="G82" i="5" s="1"/>
  <c r="J63" i="5"/>
  <c r="D688" i="13"/>
  <c r="J81" i="5" s="1"/>
  <c r="K63" i="5"/>
  <c r="D788" i="13"/>
  <c r="K81" i="5" s="1"/>
  <c r="K64" i="5"/>
  <c r="D789" i="13"/>
  <c r="K82" i="5" s="1"/>
  <c r="C587" i="13"/>
  <c r="E488" i="13"/>
  <c r="F488" i="13"/>
  <c r="C487" i="13"/>
  <c r="K589" i="13"/>
  <c r="F588" i="13"/>
  <c r="E588" i="13"/>
  <c r="K489" i="13"/>
  <c r="B44" i="1"/>
  <c r="B45" i="1" s="1"/>
  <c r="P4" i="4" s="1"/>
  <c r="A4" i="3"/>
  <c r="A75" i="13" s="1"/>
  <c r="H62" i="5" l="1"/>
  <c r="D487" i="13"/>
  <c r="H80" i="5" s="1"/>
  <c r="I62" i="5"/>
  <c r="D587" i="13"/>
  <c r="I80" i="5" s="1"/>
  <c r="C588" i="13"/>
  <c r="A5" i="3"/>
  <c r="A76" i="13" s="1"/>
  <c r="M75" i="13"/>
  <c r="E75" i="13" s="1"/>
  <c r="L75" i="13"/>
  <c r="G75" i="13" s="1"/>
  <c r="F489" i="13"/>
  <c r="E489" i="13"/>
  <c r="F589" i="13"/>
  <c r="E589" i="13"/>
  <c r="C488" i="13"/>
  <c r="A5" i="4"/>
  <c r="C5" i="3"/>
  <c r="S4" i="3" s="1"/>
  <c r="A6" i="3"/>
  <c r="A77" i="13" s="1"/>
  <c r="P17" i="4"/>
  <c r="P11" i="4"/>
  <c r="P8" i="4"/>
  <c r="P10" i="4"/>
  <c r="P15" i="4"/>
  <c r="P5" i="4"/>
  <c r="P13" i="4"/>
  <c r="P18" i="4"/>
  <c r="P9" i="4"/>
  <c r="P7" i="4"/>
  <c r="P14" i="4"/>
  <c r="P6" i="4"/>
  <c r="B5" i="3"/>
  <c r="P16" i="4"/>
  <c r="B4" i="3"/>
  <c r="A31" i="5"/>
  <c r="A4" i="4"/>
  <c r="P12" i="4"/>
  <c r="A32" i="5" l="1"/>
  <c r="A50" i="5"/>
  <c r="A68" i="5"/>
  <c r="A51" i="5"/>
  <c r="A69" i="5"/>
  <c r="H63" i="5"/>
  <c r="D488" i="13"/>
  <c r="H81" i="5" s="1"/>
  <c r="I63" i="5"/>
  <c r="D588" i="13"/>
  <c r="I81" i="5" s="1"/>
  <c r="M77" i="13"/>
  <c r="E77" i="13" s="1"/>
  <c r="L77" i="13"/>
  <c r="G77" i="13" s="1"/>
  <c r="C75" i="13"/>
  <c r="M76" i="13"/>
  <c r="E76" i="13" s="1"/>
  <c r="L76" i="13"/>
  <c r="G76" i="13" s="1"/>
  <c r="C589" i="13"/>
  <c r="C489" i="13"/>
  <c r="A33" i="5"/>
  <c r="B6" i="3"/>
  <c r="A6" i="4"/>
  <c r="A7" i="3"/>
  <c r="A78" i="13" s="1"/>
  <c r="J4" i="4"/>
  <c r="K4" i="4" s="1"/>
  <c r="C6" i="3"/>
  <c r="S5" i="3" s="1"/>
  <c r="L4" i="4"/>
  <c r="G4" i="4" s="1"/>
  <c r="M4" i="4"/>
  <c r="L5" i="4"/>
  <c r="G5" i="4" s="1"/>
  <c r="M5" i="4"/>
  <c r="A52" i="5" l="1"/>
  <c r="A70" i="5"/>
  <c r="H64" i="5"/>
  <c r="D489" i="13"/>
  <c r="H82" i="5" s="1"/>
  <c r="I64" i="5"/>
  <c r="D589" i="13"/>
  <c r="I82" i="5" s="1"/>
  <c r="D50" i="5"/>
  <c r="D75" i="13"/>
  <c r="D68" i="5" s="1"/>
  <c r="M78" i="13"/>
  <c r="E78" i="13" s="1"/>
  <c r="L78" i="13"/>
  <c r="G78" i="13" s="1"/>
  <c r="C77" i="13"/>
  <c r="C76" i="13"/>
  <c r="M6" i="4"/>
  <c r="L6" i="4"/>
  <c r="G6" i="4" s="1"/>
  <c r="B7" i="3"/>
  <c r="A7" i="4"/>
  <c r="A34" i="5"/>
  <c r="A8" i="3"/>
  <c r="A79" i="13" s="1"/>
  <c r="J5" i="4"/>
  <c r="K5" i="4" s="1"/>
  <c r="C7" i="3"/>
  <c r="S6" i="3" s="1"/>
  <c r="E4" i="4"/>
  <c r="F4" i="4"/>
  <c r="A53" i="5" l="1"/>
  <c r="A71" i="5"/>
  <c r="D51" i="5"/>
  <c r="D76" i="13"/>
  <c r="D69" i="5" s="1"/>
  <c r="D52" i="5"/>
  <c r="D77" i="13"/>
  <c r="D70" i="5" s="1"/>
  <c r="C78" i="13"/>
  <c r="M79" i="13"/>
  <c r="E79" i="13" s="1"/>
  <c r="L79" i="13"/>
  <c r="G79" i="13" s="1"/>
  <c r="C4" i="4"/>
  <c r="B8" i="3"/>
  <c r="A35" i="5"/>
  <c r="A8" i="4"/>
  <c r="A9" i="3"/>
  <c r="A80" i="13" s="1"/>
  <c r="J6" i="4"/>
  <c r="K6" i="4" s="1"/>
  <c r="C8" i="3"/>
  <c r="S7" i="3" s="1"/>
  <c r="L7" i="4"/>
  <c r="G7" i="4" s="1"/>
  <c r="M7" i="4"/>
  <c r="F5" i="4"/>
  <c r="E5" i="4"/>
  <c r="A54" i="5" l="1"/>
  <c r="A72" i="5"/>
  <c r="B50" i="5"/>
  <c r="D4" i="4"/>
  <c r="B68" i="5" s="1"/>
  <c r="D53" i="5"/>
  <c r="D78" i="13"/>
  <c r="D71" i="5" s="1"/>
  <c r="C79" i="13"/>
  <c r="M80" i="13"/>
  <c r="E80" i="13" s="1"/>
  <c r="L80" i="13"/>
  <c r="G80" i="13" s="1"/>
  <c r="A36" i="5"/>
  <c r="A10" i="3"/>
  <c r="A81" i="13" s="1"/>
  <c r="B9" i="3"/>
  <c r="A9" i="4"/>
  <c r="C9" i="3"/>
  <c r="S8" i="3" s="1"/>
  <c r="J7" i="4"/>
  <c r="K7" i="4" s="1"/>
  <c r="M8" i="4"/>
  <c r="L8" i="4"/>
  <c r="G8" i="4" s="1"/>
  <c r="C5" i="4"/>
  <c r="F6" i="4"/>
  <c r="E6" i="4"/>
  <c r="A55" i="5" l="1"/>
  <c r="A73" i="5"/>
  <c r="B51" i="5"/>
  <c r="D5" i="4"/>
  <c r="B69" i="5" s="1"/>
  <c r="D54" i="5"/>
  <c r="D79" i="13"/>
  <c r="D72" i="5" s="1"/>
  <c r="C80" i="13"/>
  <c r="M81" i="13"/>
  <c r="E81" i="13" s="1"/>
  <c r="L81" i="13"/>
  <c r="G81" i="13" s="1"/>
  <c r="C6" i="4"/>
  <c r="L9" i="4"/>
  <c r="G9" i="4" s="1"/>
  <c r="M9" i="4"/>
  <c r="F7" i="4"/>
  <c r="E7" i="4"/>
  <c r="J8" i="4"/>
  <c r="K8" i="4" s="1"/>
  <c r="C10" i="3"/>
  <c r="S9" i="3" s="1"/>
  <c r="B10" i="3"/>
  <c r="A11" i="3"/>
  <c r="A82" i="13" s="1"/>
  <c r="A10" i="4"/>
  <c r="A37" i="5"/>
  <c r="A56" i="5" l="1"/>
  <c r="A74" i="5"/>
  <c r="B52" i="5"/>
  <c r="D6" i="4"/>
  <c r="B70" i="5" s="1"/>
  <c r="D55" i="5"/>
  <c r="D80" i="13"/>
  <c r="D73" i="5" s="1"/>
  <c r="C81" i="13"/>
  <c r="M82" i="13"/>
  <c r="E82" i="13" s="1"/>
  <c r="L82" i="13"/>
  <c r="G82" i="13" s="1"/>
  <c r="M10" i="4"/>
  <c r="L10" i="4"/>
  <c r="G10" i="4" s="1"/>
  <c r="E8" i="4"/>
  <c r="F8" i="4"/>
  <c r="A38" i="5"/>
  <c r="A12" i="3"/>
  <c r="A83" i="13" s="1"/>
  <c r="B11" i="3"/>
  <c r="A11" i="4"/>
  <c r="J9" i="4"/>
  <c r="K9" i="4" s="1"/>
  <c r="C11" i="3"/>
  <c r="S10" i="3" s="1"/>
  <c r="C7" i="4"/>
  <c r="A57" i="5" l="1"/>
  <c r="A75" i="5"/>
  <c r="B53" i="5"/>
  <c r="D7" i="4"/>
  <c r="B71" i="5" s="1"/>
  <c r="D56" i="5"/>
  <c r="D81" i="13"/>
  <c r="D74" i="5" s="1"/>
  <c r="C82" i="13"/>
  <c r="M83" i="13"/>
  <c r="E83" i="13" s="1"/>
  <c r="L83" i="13"/>
  <c r="G83" i="13" s="1"/>
  <c r="C8" i="4"/>
  <c r="E9" i="4"/>
  <c r="F9" i="4"/>
  <c r="A39" i="5"/>
  <c r="A12" i="4"/>
  <c r="B12" i="3"/>
  <c r="A13" i="3"/>
  <c r="A84" i="13" s="1"/>
  <c r="C12" i="3"/>
  <c r="S11" i="3" s="1"/>
  <c r="J10" i="4"/>
  <c r="K10" i="4" s="1"/>
  <c r="M11" i="4"/>
  <c r="L11" i="4"/>
  <c r="G11" i="4" s="1"/>
  <c r="A58" i="5" l="1"/>
  <c r="A76" i="5"/>
  <c r="B54" i="5"/>
  <c r="D8" i="4"/>
  <c r="B72" i="5" s="1"/>
  <c r="D57" i="5"/>
  <c r="D82" i="13"/>
  <c r="D75" i="5" s="1"/>
  <c r="C83" i="13"/>
  <c r="M84" i="13"/>
  <c r="E84" i="13" s="1"/>
  <c r="L84" i="13"/>
  <c r="G84" i="13" s="1"/>
  <c r="L12" i="4"/>
  <c r="G12" i="4" s="1"/>
  <c r="M12" i="4"/>
  <c r="F10" i="4"/>
  <c r="E10" i="4"/>
  <c r="A13" i="4"/>
  <c r="A40" i="5"/>
  <c r="A14" i="3"/>
  <c r="A85" i="13" s="1"/>
  <c r="B13" i="3"/>
  <c r="C13" i="3"/>
  <c r="S12" i="3" s="1"/>
  <c r="J11" i="4"/>
  <c r="K11" i="4" s="1"/>
  <c r="C9" i="4"/>
  <c r="A59" i="5" l="1"/>
  <c r="A77" i="5"/>
  <c r="B55" i="5"/>
  <c r="D9" i="4"/>
  <c r="B73" i="5" s="1"/>
  <c r="D58" i="5"/>
  <c r="D83" i="13"/>
  <c r="D76" i="5" s="1"/>
  <c r="C84" i="13"/>
  <c r="M85" i="13"/>
  <c r="E85" i="13" s="1"/>
  <c r="L85" i="13"/>
  <c r="G85" i="13" s="1"/>
  <c r="C14" i="3"/>
  <c r="S13" i="3" s="1"/>
  <c r="J12" i="4"/>
  <c r="K12" i="4" s="1"/>
  <c r="B14" i="3"/>
  <c r="A41" i="5"/>
  <c r="A14" i="4"/>
  <c r="A15" i="3"/>
  <c r="A86" i="13" s="1"/>
  <c r="M13" i="4"/>
  <c r="L13" i="4"/>
  <c r="G13" i="4" s="1"/>
  <c r="F11" i="4"/>
  <c r="E11" i="4"/>
  <c r="C10" i="4"/>
  <c r="A60" i="5" l="1"/>
  <c r="A78" i="5"/>
  <c r="B56" i="5"/>
  <c r="D10" i="4"/>
  <c r="B74" i="5" s="1"/>
  <c r="D59" i="5"/>
  <c r="D84" i="13"/>
  <c r="D77" i="5" s="1"/>
  <c r="C85" i="13"/>
  <c r="M86" i="13"/>
  <c r="E86" i="13" s="1"/>
  <c r="L86" i="13"/>
  <c r="G86" i="13" s="1"/>
  <c r="B15" i="3"/>
  <c r="A15" i="4"/>
  <c r="A42" i="5"/>
  <c r="A16" i="3"/>
  <c r="A87" i="13" s="1"/>
  <c r="E12" i="4"/>
  <c r="F12" i="4"/>
  <c r="L14" i="4"/>
  <c r="G14" i="4" s="1"/>
  <c r="M14" i="4"/>
  <c r="C15" i="3"/>
  <c r="S14" i="3" s="1"/>
  <c r="J13" i="4"/>
  <c r="K13" i="4" s="1"/>
  <c r="C11" i="4"/>
  <c r="A61" i="5" l="1"/>
  <c r="A79" i="5"/>
  <c r="B57" i="5"/>
  <c r="D11" i="4"/>
  <c r="B75" i="5" s="1"/>
  <c r="D60" i="5"/>
  <c r="D85" i="13"/>
  <c r="D78" i="5" s="1"/>
  <c r="C86" i="13"/>
  <c r="M87" i="13"/>
  <c r="E87" i="13" s="1"/>
  <c r="L87" i="13"/>
  <c r="G87" i="13" s="1"/>
  <c r="E13" i="4"/>
  <c r="F13" i="4"/>
  <c r="A43" i="5"/>
  <c r="A16" i="4"/>
  <c r="A17" i="3"/>
  <c r="A88" i="13" s="1"/>
  <c r="B16" i="3"/>
  <c r="C16" i="3"/>
  <c r="S15" i="3" s="1"/>
  <c r="J14" i="4"/>
  <c r="K14" i="4" s="1"/>
  <c r="M15" i="4"/>
  <c r="L15" i="4"/>
  <c r="G15" i="4" s="1"/>
  <c r="C12" i="4"/>
  <c r="A62" i="5" l="1"/>
  <c r="A80" i="5"/>
  <c r="B58" i="5"/>
  <c r="D12" i="4"/>
  <c r="B76" i="5" s="1"/>
  <c r="D61" i="5"/>
  <c r="D86" i="13"/>
  <c r="D79" i="5" s="1"/>
  <c r="C87" i="13"/>
  <c r="M88" i="13"/>
  <c r="E88" i="13" s="1"/>
  <c r="L88" i="13"/>
  <c r="G88" i="13" s="1"/>
  <c r="C17" i="3"/>
  <c r="S16" i="3" s="1"/>
  <c r="J15" i="4"/>
  <c r="K15" i="4" s="1"/>
  <c r="L16" i="4"/>
  <c r="G16" i="4" s="1"/>
  <c r="M16" i="4"/>
  <c r="F14" i="4"/>
  <c r="E14" i="4"/>
  <c r="A18" i="3"/>
  <c r="A89" i="13" s="1"/>
  <c r="B17" i="3"/>
  <c r="A44" i="5"/>
  <c r="A17" i="4"/>
  <c r="C13" i="4"/>
  <c r="A63" i="5" l="1"/>
  <c r="A81" i="5"/>
  <c r="B59" i="5"/>
  <c r="D13" i="4"/>
  <c r="B77" i="5" s="1"/>
  <c r="D62" i="5"/>
  <c r="D87" i="13"/>
  <c r="D80" i="5" s="1"/>
  <c r="C88" i="13"/>
  <c r="M89" i="13"/>
  <c r="E89" i="13" s="1"/>
  <c r="L89" i="13"/>
  <c r="G89" i="13" s="1"/>
  <c r="C14" i="4"/>
  <c r="B18" i="3"/>
  <c r="A45" i="5"/>
  <c r="A18" i="4"/>
  <c r="E15" i="4"/>
  <c r="F15" i="4"/>
  <c r="M17" i="4"/>
  <c r="L17" i="4"/>
  <c r="G17" i="4" s="1"/>
  <c r="J16" i="4"/>
  <c r="K16" i="4" s="1"/>
  <c r="C18" i="3"/>
  <c r="S17" i="3" s="1"/>
  <c r="S18" i="3" s="1"/>
  <c r="A64" i="5" l="1"/>
  <c r="A82" i="5"/>
  <c r="B60" i="5"/>
  <c r="D14" i="4"/>
  <c r="B78" i="5" s="1"/>
  <c r="D63" i="5"/>
  <c r="D88" i="13"/>
  <c r="D81" i="5" s="1"/>
  <c r="C89" i="13"/>
  <c r="C15" i="4"/>
  <c r="J17" i="4"/>
  <c r="K17" i="4" s="1"/>
  <c r="J18" i="4"/>
  <c r="M18" i="4"/>
  <c r="L18" i="4"/>
  <c r="G18" i="4" s="1"/>
  <c r="F16" i="4"/>
  <c r="E16" i="4"/>
  <c r="B61" i="5" l="1"/>
  <c r="D15" i="4"/>
  <c r="B79" i="5" s="1"/>
  <c r="D64" i="5"/>
  <c r="D89" i="13"/>
  <c r="D82" i="5" s="1"/>
  <c r="C16" i="4"/>
  <c r="K18" i="4"/>
  <c r="F18" i="4" s="1"/>
  <c r="F17" i="4"/>
  <c r="E17" i="4"/>
  <c r="B62" i="5" l="1"/>
  <c r="D16" i="4"/>
  <c r="B80" i="5" s="1"/>
  <c r="E18" i="4"/>
  <c r="C18" i="4" s="1"/>
  <c r="C17" i="4"/>
  <c r="C175" i="13"/>
  <c r="B64" i="5" l="1"/>
  <c r="D18" i="4"/>
  <c r="B82" i="5" s="1"/>
  <c r="B63" i="5"/>
  <c r="D17" i="4"/>
  <c r="B81" i="5" s="1"/>
  <c r="E50" i="5"/>
  <c r="D175" i="13"/>
  <c r="E6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 Ehrhardt</author>
  </authors>
  <commentList>
    <comment ref="A2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37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122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137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222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237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322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337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422" authorId="0" shapeId="0" xr:uid="{00000000-0006-0000-0500-000009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437" authorId="0" shapeId="0" xr:uid="{00000000-0006-0000-0500-00000A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522" authorId="0" shapeId="0" xr:uid="{00000000-0006-0000-0500-00000B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537" authorId="0" shapeId="0" xr:uid="{00000000-0006-0000-0500-00000C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622" authorId="0" shapeId="0" xr:uid="{00000000-0006-0000-0500-00000D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637" authorId="0" shapeId="0" xr:uid="{00000000-0006-0000-0500-00000E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  <comment ref="A722" authorId="0" shapeId="0" xr:uid="{00000000-0006-0000-0500-00000F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Over what period?</t>
        </r>
      </text>
    </comment>
    <comment ref="A737" authorId="0" shapeId="0" xr:uid="{00000000-0006-0000-0500-000010000000}">
      <text>
        <r>
          <rPr>
            <b/>
            <sz val="9"/>
            <color indexed="81"/>
            <rFont val="Tahoma"/>
            <family val="2"/>
          </rPr>
          <t>Richard Ehrhardt:</t>
        </r>
        <r>
          <rPr>
            <sz val="9"/>
            <color indexed="81"/>
            <rFont val="Tahoma"/>
            <family val="2"/>
          </rPr>
          <t xml:space="preserve">
is it more logical to put all of these inputs first above the lamb weight calcultor stuff?</t>
        </r>
      </text>
    </comment>
  </commentList>
</comments>
</file>

<file path=xl/sharedStrings.xml><?xml version="1.0" encoding="utf-8"?>
<sst xmlns="http://schemas.openxmlformats.org/spreadsheetml/2006/main" count="2053" uniqueCount="181">
  <si>
    <t>Lamb weight</t>
  </si>
  <si>
    <t>Market price</t>
  </si>
  <si>
    <t>Feed:gain</t>
  </si>
  <si>
    <t>ADG</t>
  </si>
  <si>
    <t>Feed intake</t>
  </si>
  <si>
    <t>Feed cost</t>
  </si>
  <si>
    <t>Lamb age</t>
  </si>
  <si>
    <t>Shearing costs</t>
  </si>
  <si>
    <t>Health costs</t>
  </si>
  <si>
    <t>lb</t>
  </si>
  <si>
    <t>days</t>
  </si>
  <si>
    <t>$/lb</t>
  </si>
  <si>
    <t>lb/day</t>
  </si>
  <si>
    <t>Weaning weight</t>
  </si>
  <si>
    <t>Weaning age</t>
  </si>
  <si>
    <t>Number of days creep fed</t>
  </si>
  <si>
    <t>Average lb creep fed per day</t>
  </si>
  <si>
    <t>ratio</t>
  </si>
  <si>
    <t>Average creep feed price</t>
  </si>
  <si>
    <t>Cost of creep feed</t>
  </si>
  <si>
    <t>Lamb revenue</t>
  </si>
  <si>
    <t>Shrink</t>
  </si>
  <si>
    <t>Commission</t>
  </si>
  <si>
    <t>$/lamb</t>
  </si>
  <si>
    <t>lb/lamb</t>
  </si>
  <si>
    <t>%</t>
  </si>
  <si>
    <t>Ewe feed for maintenance</t>
  </si>
  <si>
    <t>Ewe body weight</t>
  </si>
  <si>
    <t>Ewe maintenance feed price</t>
  </si>
  <si>
    <t>Ewe pregnancy/lactation feed price</t>
  </si>
  <si>
    <t>Number of months between breedings</t>
  </si>
  <si>
    <t>Conception rate</t>
  </si>
  <si>
    <t>Lambing rate</t>
  </si>
  <si>
    <t>lambs/ewe</t>
  </si>
  <si>
    <t>Lambing labor</t>
  </si>
  <si>
    <t>$/hour</t>
  </si>
  <si>
    <t>Labor rate</t>
  </si>
  <si>
    <t>Ewe labor costs</t>
  </si>
  <si>
    <t>Ewe health costs</t>
  </si>
  <si>
    <t>Ewe health and labor costs</t>
  </si>
  <si>
    <t>% Mature size</t>
  </si>
  <si>
    <t>Profit calculator for producing lamb for the ethnic market</t>
  </si>
  <si>
    <t>Dr. Richard Ehrhardt and Dr. Erin Recktenwald</t>
  </si>
  <si>
    <t>Michigan State University</t>
  </si>
  <si>
    <t>Cost of hay fed to pre-weaned lambs</t>
  </si>
  <si>
    <t>Cost of pre-weaned lamb feed</t>
  </si>
  <si>
    <t>Number of days fed hay</t>
  </si>
  <si>
    <t>Average lb hay fed per day</t>
  </si>
  <si>
    <t>Average hay price</t>
  </si>
  <si>
    <t>Pre-weaned lamb feed:</t>
  </si>
  <si>
    <t>Transportation</t>
  </si>
  <si>
    <t>Wool revenue</t>
  </si>
  <si>
    <t>$/lb DM</t>
  </si>
  <si>
    <t>lb DM/day</t>
  </si>
  <si>
    <t>lbs</t>
  </si>
  <si>
    <t>$/ewe/day</t>
  </si>
  <si>
    <t>Ewe feed costs (productive ewes)</t>
  </si>
  <si>
    <t>Ewe feed costs (all ewes)</t>
  </si>
  <si>
    <t>Ewe feed costs on a per lamb basis</t>
  </si>
  <si>
    <t>Pre-weaned lamb mortality (1 week old to weaning)</t>
  </si>
  <si>
    <t>Newborn lamb mortality (birth to 1 week)</t>
  </si>
  <si>
    <t>Ewe feed during pregnancy</t>
  </si>
  <si>
    <t>Ewe feed during maintenance</t>
  </si>
  <si>
    <t>Ewe feed during lactation</t>
  </si>
  <si>
    <t>% BW</t>
  </si>
  <si>
    <t xml:space="preserve">Ewe feed for pregnancy </t>
  </si>
  <si>
    <t>Ewe feed for lactation</t>
  </si>
  <si>
    <t>Pregnant/Lactating ewe health costs</t>
  </si>
  <si>
    <t>Ewe labor and health costs</t>
  </si>
  <si>
    <t>Mortality</t>
  </si>
  <si>
    <t>Number of lambs weaned</t>
  </si>
  <si>
    <t>Number of lambs born per ewe</t>
  </si>
  <si>
    <t>Number of lambs weaned:</t>
  </si>
  <si>
    <t>lb/day/lamb</t>
  </si>
  <si>
    <t>$/day/lamb</t>
  </si>
  <si>
    <t>$/period/lamb</t>
  </si>
  <si>
    <t>$/lamb sold</t>
  </si>
  <si>
    <t>lambs/lambing period</t>
  </si>
  <si>
    <t>Number of breeding ewes</t>
  </si>
  <si>
    <t>ewes</t>
  </si>
  <si>
    <t>$/ewe/lambing period</t>
  </si>
  <si>
    <t>$/ewe/lambing period (includes non-preg)</t>
  </si>
  <si>
    <t>months/lambing period</t>
  </si>
  <si>
    <t>Ewe Labor and Health costs:</t>
  </si>
  <si>
    <t>% died during first week/lambs born</t>
  </si>
  <si>
    <t>% died by weaning/lambs who survived first week</t>
  </si>
  <si>
    <t>% of lambs weaned</t>
  </si>
  <si>
    <t>hrs/lamb/day</t>
  </si>
  <si>
    <t>Finishing lambs by weight:</t>
  </si>
  <si>
    <t>Profit by lamb weight:</t>
  </si>
  <si>
    <t>Profit</t>
  </si>
  <si>
    <t>Cost of production</t>
  </si>
  <si>
    <t>Sales revenue</t>
  </si>
  <si>
    <t>$/lamb that died</t>
  </si>
  <si>
    <t>Ewe feed</t>
  </si>
  <si>
    <t>Ewe labor and health</t>
  </si>
  <si>
    <t>lambs born/ewe/lambing period (includes non-preg)</t>
  </si>
  <si>
    <t>lambs weaned/ewe/lambing period (includes non-preg)</t>
  </si>
  <si>
    <t>$/ewe/lambing period (only productive ewes)</t>
  </si>
  <si>
    <t>hours/ewe/lambing period</t>
  </si>
  <si>
    <t>Ewe general labor (feeding, checks, maintenance)</t>
  </si>
  <si>
    <t>Non-pregnant or lactating ewe health costs</t>
  </si>
  <si>
    <t>Ewe performance and feed costs:</t>
  </si>
  <si>
    <t>Ewe replacements:</t>
  </si>
  <si>
    <t>Replacement rate</t>
  </si>
  <si>
    <t>% of lambs weaned kept at replacements</t>
  </si>
  <si>
    <t>Replacement feed price</t>
  </si>
  <si>
    <t>Replacement age at first breeding</t>
  </si>
  <si>
    <t>Feed costs for ewe replacements</t>
  </si>
  <si>
    <t>$/ewe replacement</t>
  </si>
  <si>
    <t>Replacement body weight at first breeding</t>
  </si>
  <si>
    <t>Cull ewe market price</t>
  </si>
  <si>
    <t xml:space="preserve">$/lb  </t>
  </si>
  <si>
    <t>Cull ewe revenue</t>
  </si>
  <si>
    <t>Health and labor costs for ewe replacements</t>
  </si>
  <si>
    <t>Feed costs replmt</t>
  </si>
  <si>
    <t>Replmt labor and health</t>
  </si>
  <si>
    <t>$/lamb weaned</t>
  </si>
  <si>
    <t>$/weaned lamb/lambing period (includes non-preg)</t>
  </si>
  <si>
    <t>$/weaned lamb/lambing period (includes non-preg; if culling ewes who will be replaced)</t>
  </si>
  <si>
    <t>$/lamb weaned for sale</t>
  </si>
  <si>
    <t xml:space="preserve"> $/lamb weaned for sale</t>
  </si>
  <si>
    <t>Checkoff</t>
  </si>
  <si>
    <t>Intermittent costs, add $/lamb when occurs</t>
  </si>
  <si>
    <t>Costs that depend on lamb weight, enter $/lamb for each weight</t>
  </si>
  <si>
    <t>Labor</t>
  </si>
  <si>
    <t>Bedding, misc.</t>
  </si>
  <si>
    <t>Select frame size and growth</t>
  </si>
  <si>
    <t>Cumulative</t>
  </si>
  <si>
    <t>Feed costs</t>
  </si>
  <si>
    <t>Cumulative values</t>
  </si>
  <si>
    <t>New value</t>
  </si>
  <si>
    <t>% Change</t>
  </si>
  <si>
    <t>Units</t>
  </si>
  <si>
    <t>lbs/lamb</t>
  </si>
  <si>
    <t>Current</t>
  </si>
  <si>
    <t>A</t>
  </si>
  <si>
    <t>B</t>
  </si>
  <si>
    <t>C</t>
  </si>
  <si>
    <t>D</t>
  </si>
  <si>
    <t>E</t>
  </si>
  <si>
    <t>F</t>
  </si>
  <si>
    <t>G</t>
  </si>
  <si>
    <t>H</t>
  </si>
  <si>
    <t>Market price by lamb weight:</t>
  </si>
  <si>
    <t>Inputs:</t>
  </si>
  <si>
    <t>Weight</t>
  </si>
  <si>
    <t>Maturity</t>
  </si>
  <si>
    <t>Small frame</t>
  </si>
  <si>
    <t>Large frame</t>
  </si>
  <si>
    <t>Medium frame</t>
  </si>
  <si>
    <t>ADG low</t>
  </si>
  <si>
    <t>ADG med</t>
  </si>
  <si>
    <t>ADG high</t>
  </si>
  <si>
    <t>DMI low</t>
  </si>
  <si>
    <t>DMI med</t>
  </si>
  <si>
    <t>DMI high</t>
  </si>
  <si>
    <t>F:G low</t>
  </si>
  <si>
    <t>F:G med</t>
  </si>
  <si>
    <t>F:G high</t>
  </si>
  <si>
    <t>Growth rate</t>
  </si>
  <si>
    <t>Fast</t>
  </si>
  <si>
    <t>Medium</t>
  </si>
  <si>
    <t>Feed:Gain</t>
  </si>
  <si>
    <t>Frame</t>
  </si>
  <si>
    <t>Slow</t>
  </si>
  <si>
    <t>Scenario B</t>
  </si>
  <si>
    <t>Scenario H</t>
  </si>
  <si>
    <t>Scenario C</t>
  </si>
  <si>
    <t>Scenario E</t>
  </si>
  <si>
    <t>Scenario F</t>
  </si>
  <si>
    <t>Scenario G</t>
  </si>
  <si>
    <t>Scenario A</t>
  </si>
  <si>
    <t>Scenario D</t>
  </si>
  <si>
    <t>$/ewe</t>
  </si>
  <si>
    <t>CHART</t>
  </si>
  <si>
    <t>NRC</t>
  </si>
  <si>
    <t>Version 1.1; April 9, 2018</t>
  </si>
  <si>
    <t>Small= 136 lb</t>
  </si>
  <si>
    <t>Medium=170 lb</t>
  </si>
  <si>
    <t>Large= 204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</si>
</sst>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2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0" fillId="0" borderId="0" xfId="0" applyFont="1"/>
    <xf numFmtId="2" fontId="0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left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5" fontId="0" fillId="2" borderId="1" xfId="0" applyNumberFormat="1" applyFont="1" applyFill="1" applyBorder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 applyFont="1" applyFill="1" applyBorder="1" applyAlignment="1">
      <alignment horizontal="left"/>
    </xf>
    <xf numFmtId="0" fontId="0" fillId="0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0" xfId="0" applyNumberFormat="1"/>
    <xf numFmtId="1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0"/>
  <sheetViews>
    <sheetView topLeftCell="A16" workbookViewId="0">
      <selection activeCell="D28" sqref="D28"/>
    </sheetView>
  </sheetViews>
  <sheetFormatPr defaultRowHeight="14.75" x14ac:dyDescent="0.75"/>
  <cols>
    <col min="1" max="1" width="47.1328125" customWidth="1"/>
    <col min="2" max="2" width="14.7265625" style="3" customWidth="1"/>
    <col min="3" max="3" width="33.54296875" style="3" customWidth="1"/>
    <col min="4" max="4" width="18.1328125" style="3" customWidth="1"/>
    <col min="5" max="5" width="35.54296875" style="3" customWidth="1"/>
    <col min="6" max="6" width="13.54296875" style="4" customWidth="1"/>
    <col min="7" max="7" width="14.1328125" style="3" customWidth="1"/>
    <col min="8" max="8" width="23.7265625" style="5" customWidth="1"/>
    <col min="9" max="9" width="23.26953125" style="3" customWidth="1"/>
    <col min="10" max="10" width="22.26953125" style="3" customWidth="1"/>
    <col min="11" max="11" width="19.40625" style="3" customWidth="1"/>
    <col min="12" max="12" width="29.86328125" style="3" customWidth="1"/>
    <col min="13" max="13" width="21" style="3" customWidth="1"/>
    <col min="14" max="14" width="18" style="3" customWidth="1"/>
    <col min="15" max="15" width="20.1328125" style="5" customWidth="1"/>
    <col min="16" max="16" width="21" style="3" customWidth="1"/>
    <col min="17" max="17" width="23.1328125" style="5" customWidth="1"/>
    <col min="18" max="18" width="17" style="5" customWidth="1"/>
    <col min="19" max="19" width="8.7265625" style="5"/>
  </cols>
  <sheetData>
    <row r="1" spans="1:7" x14ac:dyDescent="0.75">
      <c r="A1" s="1" t="s">
        <v>49</v>
      </c>
      <c r="C1" s="12"/>
      <c r="E1" s="1" t="s">
        <v>41</v>
      </c>
    </row>
    <row r="2" spans="1:7" x14ac:dyDescent="0.75">
      <c r="A2" t="s">
        <v>13</v>
      </c>
      <c r="B2" s="14">
        <v>48</v>
      </c>
      <c r="C2" s="12" t="s">
        <v>9</v>
      </c>
      <c r="E2" s="1" t="s">
        <v>42</v>
      </c>
    </row>
    <row r="3" spans="1:7" x14ac:dyDescent="0.75">
      <c r="A3" t="s">
        <v>14</v>
      </c>
      <c r="B3" s="14">
        <v>65</v>
      </c>
      <c r="C3" s="12" t="s">
        <v>10</v>
      </c>
      <c r="E3" s="1" t="s">
        <v>43</v>
      </c>
    </row>
    <row r="4" spans="1:7" x14ac:dyDescent="0.75">
      <c r="A4" t="s">
        <v>15</v>
      </c>
      <c r="B4" s="14">
        <v>0</v>
      </c>
      <c r="C4" s="12" t="s">
        <v>10</v>
      </c>
      <c r="E4" s="1" t="s">
        <v>177</v>
      </c>
    </row>
    <row r="5" spans="1:7" x14ac:dyDescent="0.75">
      <c r="A5" t="s">
        <v>16</v>
      </c>
      <c r="B5" s="14">
        <v>0.4</v>
      </c>
      <c r="C5" s="12" t="s">
        <v>53</v>
      </c>
    </row>
    <row r="6" spans="1:7" x14ac:dyDescent="0.75">
      <c r="A6" t="s">
        <v>18</v>
      </c>
      <c r="B6" s="14">
        <v>0.15</v>
      </c>
      <c r="C6" s="12" t="s">
        <v>52</v>
      </c>
    </row>
    <row r="7" spans="1:7" x14ac:dyDescent="0.75">
      <c r="A7" s="2" t="s">
        <v>19</v>
      </c>
      <c r="B7" s="23">
        <f>B4*B5*B6</f>
        <v>0</v>
      </c>
      <c r="C7" s="13" t="s">
        <v>23</v>
      </c>
    </row>
    <row r="8" spans="1:7" x14ac:dyDescent="0.75">
      <c r="A8" t="s">
        <v>46</v>
      </c>
      <c r="B8" s="14">
        <v>0</v>
      </c>
      <c r="C8" s="12" t="s">
        <v>10</v>
      </c>
    </row>
    <row r="9" spans="1:7" x14ac:dyDescent="0.75">
      <c r="A9" t="s">
        <v>47</v>
      </c>
      <c r="B9" s="14">
        <v>0.2</v>
      </c>
      <c r="C9" s="12" t="s">
        <v>53</v>
      </c>
    </row>
    <row r="10" spans="1:7" x14ac:dyDescent="0.75">
      <c r="A10" t="s">
        <v>48</v>
      </c>
      <c r="B10" s="14">
        <v>7.0000000000000007E-2</v>
      </c>
      <c r="C10" s="12" t="s">
        <v>52</v>
      </c>
    </row>
    <row r="11" spans="1:7" x14ac:dyDescent="0.75">
      <c r="A11" s="2" t="s">
        <v>44</v>
      </c>
      <c r="B11" s="23">
        <f>B8*B9*B10</f>
        <v>0</v>
      </c>
      <c r="C11" s="13" t="s">
        <v>23</v>
      </c>
    </row>
    <row r="12" spans="1:7" x14ac:dyDescent="0.75">
      <c r="A12" s="2" t="s">
        <v>45</v>
      </c>
      <c r="B12" s="23">
        <f>B7+B11</f>
        <v>0</v>
      </c>
      <c r="C12" s="13" t="s">
        <v>23</v>
      </c>
    </row>
    <row r="13" spans="1:7" x14ac:dyDescent="0.75">
      <c r="A13" s="2"/>
      <c r="B13" s="20"/>
      <c r="C13" s="13"/>
    </row>
    <row r="14" spans="1:7" x14ac:dyDescent="0.75">
      <c r="A14" s="1" t="s">
        <v>102</v>
      </c>
      <c r="C14" s="12"/>
    </row>
    <row r="15" spans="1:7" x14ac:dyDescent="0.75">
      <c r="A15" t="s">
        <v>78</v>
      </c>
      <c r="B15" s="14">
        <v>100</v>
      </c>
      <c r="C15" s="12" t="s">
        <v>79</v>
      </c>
      <c r="E15" t="s">
        <v>62</v>
      </c>
      <c r="F15" s="3">
        <v>2.4</v>
      </c>
      <c r="G15" s="12" t="s">
        <v>64</v>
      </c>
    </row>
    <row r="16" spans="1:7" x14ac:dyDescent="0.75">
      <c r="A16" t="s">
        <v>27</v>
      </c>
      <c r="B16" s="14">
        <v>175</v>
      </c>
      <c r="C16" s="12" t="s">
        <v>54</v>
      </c>
      <c r="E16" t="s">
        <v>61</v>
      </c>
      <c r="F16" s="3">
        <f>IF(B21&lt;1.5,2.8,3.2)</f>
        <v>3.2</v>
      </c>
      <c r="G16" s="12" t="s">
        <v>64</v>
      </c>
    </row>
    <row r="17" spans="1:19" x14ac:dyDescent="0.75">
      <c r="A17" t="s">
        <v>28</v>
      </c>
      <c r="B17" s="14">
        <v>4.2000000000000003E-2</v>
      </c>
      <c r="C17" s="12" t="s">
        <v>52</v>
      </c>
      <c r="E17" t="s">
        <v>63</v>
      </c>
      <c r="F17" s="3">
        <f>IF(B21&lt;1.5,3.5,3.9)</f>
        <v>3.9</v>
      </c>
      <c r="G17" s="12" t="s">
        <v>64</v>
      </c>
      <c r="J17" s="4"/>
    </row>
    <row r="18" spans="1:19" x14ac:dyDescent="0.75">
      <c r="A18" t="s">
        <v>29</v>
      </c>
      <c r="B18" s="14">
        <v>5.7000000000000002E-2</v>
      </c>
      <c r="C18" s="12" t="s">
        <v>52</v>
      </c>
      <c r="E18" t="s">
        <v>62</v>
      </c>
      <c r="F18" s="25">
        <f>B16*F15/100*B17</f>
        <v>0.17640000000000003</v>
      </c>
      <c r="G18" s="12" t="s">
        <v>55</v>
      </c>
      <c r="J18" s="4"/>
    </row>
    <row r="19" spans="1:19" x14ac:dyDescent="0.75">
      <c r="A19" t="s">
        <v>30</v>
      </c>
      <c r="B19" s="14">
        <v>12</v>
      </c>
      <c r="C19" s="12" t="s">
        <v>82</v>
      </c>
      <c r="E19" t="s">
        <v>61</v>
      </c>
      <c r="F19" s="25">
        <f>F16/100*B16*B18</f>
        <v>0.31920000000000004</v>
      </c>
      <c r="G19" s="12" t="s">
        <v>55</v>
      </c>
      <c r="J19" s="4"/>
    </row>
    <row r="20" spans="1:19" x14ac:dyDescent="0.75">
      <c r="A20" t="s">
        <v>31</v>
      </c>
      <c r="B20" s="14">
        <v>94</v>
      </c>
      <c r="C20" s="12" t="s">
        <v>25</v>
      </c>
      <c r="E20" t="s">
        <v>63</v>
      </c>
      <c r="F20" s="25">
        <f>B16*F17/100*B18</f>
        <v>0.38902500000000001</v>
      </c>
      <c r="G20" s="12" t="s">
        <v>55</v>
      </c>
      <c r="J20" s="4"/>
    </row>
    <row r="21" spans="1:19" x14ac:dyDescent="0.75">
      <c r="A21" t="s">
        <v>32</v>
      </c>
      <c r="B21" s="14">
        <v>1.9</v>
      </c>
      <c r="C21" s="12" t="s">
        <v>33</v>
      </c>
      <c r="E21" t="s">
        <v>26</v>
      </c>
      <c r="F21" s="3">
        <f>(B19*30-4*7-B3)*F18</f>
        <v>47.098800000000004</v>
      </c>
      <c r="G21" s="12" t="s">
        <v>80</v>
      </c>
      <c r="J21" s="4"/>
    </row>
    <row r="22" spans="1:19" x14ac:dyDescent="0.75">
      <c r="A22" t="s">
        <v>60</v>
      </c>
      <c r="B22" s="14">
        <v>11</v>
      </c>
      <c r="C22" s="12" t="s">
        <v>84</v>
      </c>
      <c r="E22" t="s">
        <v>65</v>
      </c>
      <c r="F22" s="3">
        <f>4*7*F19</f>
        <v>8.9376000000000015</v>
      </c>
      <c r="G22" s="12" t="s">
        <v>80</v>
      </c>
      <c r="J22" s="4"/>
    </row>
    <row r="23" spans="1:19" x14ac:dyDescent="0.75">
      <c r="A23" t="s">
        <v>59</v>
      </c>
      <c r="B23" s="14">
        <v>3</v>
      </c>
      <c r="C23" s="12" t="s">
        <v>85</v>
      </c>
      <c r="E23" t="s">
        <v>66</v>
      </c>
      <c r="F23" s="10">
        <f>B3*F20</f>
        <v>25.286625000000001</v>
      </c>
      <c r="G23" s="12" t="s">
        <v>80</v>
      </c>
      <c r="J23" s="4"/>
    </row>
    <row r="24" spans="1:19" x14ac:dyDescent="0.75">
      <c r="A24" s="21" t="s">
        <v>72</v>
      </c>
      <c r="B24" s="24">
        <f>B15*B20/100*B21*(1-B22/100)*(1-B23/100)</f>
        <v>154.18538000000001</v>
      </c>
      <c r="C24" s="13" t="s">
        <v>77</v>
      </c>
      <c r="E24" t="s">
        <v>56</v>
      </c>
      <c r="F24" s="3">
        <f>F21+F22+F23</f>
        <v>81.323025000000001</v>
      </c>
      <c r="G24" s="12" t="s">
        <v>98</v>
      </c>
      <c r="J24" s="4"/>
    </row>
    <row r="25" spans="1:19" s="19" customFormat="1" x14ac:dyDescent="0.75">
      <c r="A25" s="22" t="s">
        <v>71</v>
      </c>
      <c r="B25" s="26">
        <f>B21*B20/100</f>
        <v>1.786</v>
      </c>
      <c r="C25" s="13" t="s">
        <v>96</v>
      </c>
      <c r="D25" s="16"/>
      <c r="E25" t="s">
        <v>57</v>
      </c>
      <c r="F25" s="5">
        <f>(F18*365)*(1-B20/100)+F24*B20/100</f>
        <v>80.306803500000001</v>
      </c>
      <c r="G25" s="12" t="s">
        <v>81</v>
      </c>
      <c r="H25" s="18"/>
      <c r="I25" s="16"/>
      <c r="J25" s="17"/>
      <c r="K25" s="16"/>
      <c r="L25" s="16"/>
      <c r="M25" s="16"/>
      <c r="N25" s="16"/>
      <c r="O25" s="18"/>
      <c r="P25" s="16"/>
      <c r="Q25" s="18"/>
      <c r="R25" s="18"/>
      <c r="S25" s="18"/>
    </row>
    <row r="26" spans="1:19" x14ac:dyDescent="0.75">
      <c r="A26" s="22" t="s">
        <v>70</v>
      </c>
      <c r="B26" s="26">
        <f>B20/100*B21*(1-B22/100)*(1-B23/100)</f>
        <v>1.5418537999999999</v>
      </c>
      <c r="C26" s="13" t="s">
        <v>97</v>
      </c>
      <c r="E26" s="2" t="s">
        <v>58</v>
      </c>
      <c r="F26" s="26">
        <f>F25/B26</f>
        <v>52.084577344492715</v>
      </c>
      <c r="G26" s="13" t="s">
        <v>118</v>
      </c>
    </row>
    <row r="28" spans="1:19" x14ac:dyDescent="0.75">
      <c r="A28" s="1" t="s">
        <v>83</v>
      </c>
      <c r="C28" s="12"/>
      <c r="H28" s="4"/>
      <c r="J28" s="5"/>
    </row>
    <row r="29" spans="1:19" x14ac:dyDescent="0.75">
      <c r="A29" t="s">
        <v>36</v>
      </c>
      <c r="B29" s="14">
        <v>10</v>
      </c>
      <c r="C29" s="12" t="s">
        <v>35</v>
      </c>
    </row>
    <row r="30" spans="1:19" x14ac:dyDescent="0.75">
      <c r="A30" t="s">
        <v>34</v>
      </c>
      <c r="B30" s="14">
        <v>0.4</v>
      </c>
      <c r="C30" s="12" t="s">
        <v>99</v>
      </c>
    </row>
    <row r="31" spans="1:19" x14ac:dyDescent="0.75">
      <c r="A31" t="s">
        <v>100</v>
      </c>
      <c r="B31" s="14">
        <v>2.25</v>
      </c>
      <c r="C31" s="12" t="s">
        <v>99</v>
      </c>
    </row>
    <row r="32" spans="1:19" x14ac:dyDescent="0.75">
      <c r="A32" t="s">
        <v>67</v>
      </c>
      <c r="B32" s="14">
        <v>8</v>
      </c>
      <c r="C32" s="12" t="s">
        <v>80</v>
      </c>
    </row>
    <row r="33" spans="1:19" x14ac:dyDescent="0.75">
      <c r="A33" t="s">
        <v>101</v>
      </c>
      <c r="B33" s="14">
        <v>3</v>
      </c>
      <c r="C33" s="12" t="s">
        <v>80</v>
      </c>
    </row>
    <row r="34" spans="1:19" x14ac:dyDescent="0.75">
      <c r="A34" t="s">
        <v>37</v>
      </c>
      <c r="B34" s="5">
        <f>B31*B29+B30*B29*(B20/100)</f>
        <v>26.259999999999998</v>
      </c>
      <c r="C34" s="12" t="s">
        <v>81</v>
      </c>
    </row>
    <row r="35" spans="1:19" x14ac:dyDescent="0.75">
      <c r="A35" t="s">
        <v>38</v>
      </c>
      <c r="B35" s="5">
        <f>B32*B20/100+B33*(1-B20/100)</f>
        <v>7.6999999999999993</v>
      </c>
      <c r="C35" s="12" t="s">
        <v>81</v>
      </c>
    </row>
    <row r="36" spans="1:19" x14ac:dyDescent="0.75">
      <c r="A36" t="s">
        <v>68</v>
      </c>
      <c r="B36" s="5">
        <f>SUM(B34:B35)</f>
        <v>33.959999999999994</v>
      </c>
      <c r="C36" s="12" t="s">
        <v>81</v>
      </c>
    </row>
    <row r="37" spans="1:19" s="2" customFormat="1" x14ac:dyDescent="0.75">
      <c r="A37" s="2" t="s">
        <v>39</v>
      </c>
      <c r="B37" s="26">
        <f>B36/B26</f>
        <v>22.025434577519604</v>
      </c>
      <c r="C37" s="13" t="s">
        <v>118</v>
      </c>
      <c r="D37" s="6"/>
      <c r="E37" s="6"/>
      <c r="F37" s="7"/>
      <c r="G37" s="6"/>
      <c r="H37" s="8"/>
      <c r="I37" s="6"/>
      <c r="J37" s="6"/>
      <c r="K37" s="6"/>
      <c r="L37" s="6"/>
      <c r="M37" s="6"/>
      <c r="N37" s="6"/>
      <c r="O37" s="8"/>
      <c r="P37" s="6"/>
      <c r="Q37" s="8"/>
      <c r="R37" s="8"/>
      <c r="S37" s="8"/>
    </row>
    <row r="38" spans="1:19" s="2" customFormat="1" x14ac:dyDescent="0.75">
      <c r="B38" s="29"/>
      <c r="C38" s="13"/>
      <c r="D38" s="6"/>
      <c r="E38" s="6"/>
      <c r="F38" s="7"/>
      <c r="G38" s="6"/>
      <c r="H38" s="8"/>
      <c r="I38" s="6"/>
      <c r="J38" s="6"/>
      <c r="K38" s="6"/>
      <c r="L38" s="6"/>
      <c r="M38" s="6"/>
      <c r="N38" s="6"/>
      <c r="O38" s="8"/>
      <c r="P38" s="6"/>
      <c r="Q38" s="8"/>
      <c r="R38" s="8"/>
      <c r="S38" s="8"/>
    </row>
    <row r="39" spans="1:19" s="2" customFormat="1" x14ac:dyDescent="0.75">
      <c r="A39" s="1" t="s">
        <v>103</v>
      </c>
      <c r="B39" s="29"/>
      <c r="C39" s="13"/>
      <c r="D39" s="6"/>
      <c r="E39" s="6"/>
      <c r="F39" s="7"/>
      <c r="G39" s="6"/>
      <c r="H39" s="8"/>
      <c r="I39" s="6"/>
      <c r="J39" s="6"/>
      <c r="K39" s="6"/>
      <c r="L39" s="6"/>
      <c r="M39" s="6"/>
      <c r="N39" s="6"/>
      <c r="O39" s="8"/>
      <c r="P39" s="6"/>
      <c r="Q39" s="8"/>
      <c r="R39" s="8"/>
      <c r="S39" s="8"/>
    </row>
    <row r="40" spans="1:19" s="2" customFormat="1" x14ac:dyDescent="0.75">
      <c r="A40" s="30" t="s">
        <v>104</v>
      </c>
      <c r="B40" s="33">
        <v>15</v>
      </c>
      <c r="C40" s="32" t="s">
        <v>105</v>
      </c>
      <c r="D40" s="6"/>
      <c r="E40" s="6"/>
      <c r="F40" s="7"/>
      <c r="G40" s="6"/>
      <c r="H40" s="8"/>
      <c r="I40" s="6"/>
      <c r="J40" s="6"/>
      <c r="K40" s="6"/>
      <c r="L40" s="6"/>
      <c r="M40" s="6"/>
      <c r="N40" s="6"/>
      <c r="O40" s="8"/>
      <c r="P40" s="6"/>
      <c r="Q40" s="8"/>
      <c r="R40" s="8"/>
      <c r="S40" s="8"/>
    </row>
    <row r="41" spans="1:19" s="2" customFormat="1" x14ac:dyDescent="0.75">
      <c r="A41" s="30" t="s">
        <v>106</v>
      </c>
      <c r="B41" s="34">
        <v>6.5000000000000002E-2</v>
      </c>
      <c r="C41" s="32" t="s">
        <v>52</v>
      </c>
      <c r="D41" s="6"/>
      <c r="E41" s="6"/>
      <c r="F41" s="7"/>
      <c r="G41" s="6"/>
      <c r="H41" s="8"/>
      <c r="I41" s="6"/>
      <c r="J41" s="6"/>
      <c r="K41" s="6"/>
      <c r="L41" s="6"/>
      <c r="M41" s="6"/>
      <c r="N41" s="6"/>
      <c r="O41" s="8"/>
      <c r="P41" s="6"/>
      <c r="Q41" s="8"/>
      <c r="R41" s="8"/>
      <c r="S41" s="8"/>
    </row>
    <row r="42" spans="1:19" s="2" customFormat="1" x14ac:dyDescent="0.75">
      <c r="A42" s="30" t="s">
        <v>110</v>
      </c>
      <c r="B42" s="35">
        <v>115</v>
      </c>
      <c r="C42" s="30" t="s">
        <v>54</v>
      </c>
      <c r="D42" s="6"/>
      <c r="E42" s="6"/>
      <c r="F42" s="7"/>
      <c r="G42" s="6"/>
      <c r="H42" s="8"/>
      <c r="I42" s="6"/>
      <c r="J42" s="6"/>
      <c r="K42" s="6"/>
      <c r="L42" s="6"/>
      <c r="M42" s="6"/>
      <c r="N42" s="6"/>
      <c r="O42" s="8"/>
      <c r="P42" s="6"/>
      <c r="Q42" s="8"/>
      <c r="R42" s="8"/>
      <c r="S42" s="8"/>
    </row>
    <row r="43" spans="1:19" s="2" customFormat="1" x14ac:dyDescent="0.75">
      <c r="A43" s="30" t="s">
        <v>107</v>
      </c>
      <c r="B43" s="33">
        <v>230</v>
      </c>
      <c r="C43" s="32" t="s">
        <v>10</v>
      </c>
      <c r="D43" s="6"/>
      <c r="E43" s="6"/>
      <c r="F43" s="7"/>
      <c r="G43" s="6"/>
      <c r="H43" s="8"/>
      <c r="I43" s="6"/>
      <c r="J43" s="6"/>
      <c r="K43" s="6"/>
      <c r="L43" s="6"/>
      <c r="M43" s="6"/>
      <c r="N43" s="6"/>
      <c r="O43" s="8"/>
      <c r="P43" s="6"/>
      <c r="Q43" s="8"/>
      <c r="R43" s="8"/>
      <c r="S43" s="8"/>
    </row>
    <row r="44" spans="1:19" s="2" customFormat="1" x14ac:dyDescent="0.75">
      <c r="A44" s="30" t="s">
        <v>108</v>
      </c>
      <c r="B44" s="31">
        <f>0.032*(B42-B2)/(LN(B42/B2)/(B43-B3))*B41</f>
        <v>26.317478616268733</v>
      </c>
      <c r="C44" s="32" t="s">
        <v>109</v>
      </c>
      <c r="D44" s="6"/>
      <c r="E44" s="6"/>
      <c r="F44" s="7"/>
      <c r="G44" s="6"/>
      <c r="H44" s="8"/>
      <c r="I44" s="6"/>
      <c r="J44" s="6"/>
      <c r="K44" s="6"/>
      <c r="L44" s="6"/>
      <c r="M44" s="6"/>
      <c r="N44" s="6"/>
      <c r="O44" s="8"/>
      <c r="P44" s="6"/>
      <c r="Q44" s="8"/>
      <c r="R44" s="8"/>
      <c r="S44" s="8"/>
    </row>
    <row r="45" spans="1:19" s="2" customFormat="1" x14ac:dyDescent="0.75">
      <c r="A45" s="41" t="s">
        <v>108</v>
      </c>
      <c r="B45" s="26">
        <f>B44*(B40/100)</f>
        <v>3.9476217924403096</v>
      </c>
      <c r="C45" s="13" t="s">
        <v>119</v>
      </c>
      <c r="D45" s="6"/>
      <c r="E45" s="6"/>
      <c r="F45" s="7"/>
      <c r="G45" s="6"/>
      <c r="H45" s="8"/>
      <c r="I45" s="6"/>
      <c r="J45" s="6"/>
      <c r="K45" s="6"/>
      <c r="L45" s="6"/>
      <c r="M45" s="6"/>
      <c r="N45" s="6"/>
      <c r="O45" s="8"/>
      <c r="P45" s="6"/>
      <c r="Q45" s="8"/>
      <c r="R45" s="8"/>
      <c r="S45" s="8"/>
    </row>
    <row r="46" spans="1:19" s="36" customFormat="1" x14ac:dyDescent="0.75">
      <c r="A46" s="41"/>
      <c r="B46" s="29"/>
      <c r="C46" s="37"/>
      <c r="D46" s="42"/>
      <c r="E46" s="42"/>
      <c r="F46" s="43"/>
      <c r="G46" s="42"/>
      <c r="H46" s="29"/>
      <c r="I46" s="42"/>
      <c r="J46" s="42"/>
      <c r="K46" s="42"/>
      <c r="L46" s="42"/>
      <c r="M46" s="42"/>
      <c r="N46" s="42"/>
      <c r="O46" s="29"/>
      <c r="P46" s="42"/>
      <c r="Q46" s="29"/>
      <c r="R46" s="29"/>
      <c r="S46" s="29"/>
    </row>
    <row r="47" spans="1:19" s="2" customFormat="1" x14ac:dyDescent="0.75">
      <c r="A47" s="40" t="s">
        <v>114</v>
      </c>
      <c r="B47" s="44">
        <v>10</v>
      </c>
      <c r="C47" s="32" t="s">
        <v>109</v>
      </c>
      <c r="D47" s="6"/>
      <c r="E47" s="6"/>
      <c r="F47" s="7"/>
      <c r="G47" s="6"/>
      <c r="H47" s="8"/>
      <c r="I47" s="6"/>
      <c r="J47" s="6"/>
      <c r="K47" s="6"/>
      <c r="L47" s="6"/>
      <c r="M47" s="6"/>
      <c r="N47" s="6"/>
      <c r="O47" s="8"/>
      <c r="P47" s="6"/>
      <c r="Q47" s="8"/>
      <c r="R47" s="8"/>
      <c r="S47" s="8"/>
    </row>
    <row r="48" spans="1:19" s="2" customFormat="1" x14ac:dyDescent="0.75">
      <c r="A48" s="41" t="s">
        <v>114</v>
      </c>
      <c r="B48" s="26">
        <f>B47*(B40/100)</f>
        <v>1.5</v>
      </c>
      <c r="C48" s="13" t="s">
        <v>119</v>
      </c>
      <c r="D48" s="6"/>
      <c r="E48" s="6"/>
      <c r="F48" s="7"/>
      <c r="G48" s="6"/>
      <c r="H48" s="8"/>
      <c r="I48" s="6"/>
      <c r="J48" s="6"/>
      <c r="K48" s="6"/>
      <c r="L48" s="6"/>
      <c r="M48" s="6"/>
      <c r="N48" s="6"/>
      <c r="O48" s="8"/>
      <c r="P48" s="6"/>
      <c r="Q48" s="8"/>
      <c r="R48" s="8"/>
      <c r="S48" s="8"/>
    </row>
    <row r="49" spans="1:19" s="2" customFormat="1" x14ac:dyDescent="0.75">
      <c r="A49" s="41"/>
      <c r="B49" s="29"/>
      <c r="C49" s="13"/>
      <c r="D49" s="6"/>
      <c r="E49" s="6"/>
      <c r="F49" s="7"/>
      <c r="G49" s="6"/>
      <c r="H49" s="8"/>
      <c r="I49" s="6"/>
      <c r="J49" s="6"/>
      <c r="K49" s="6"/>
      <c r="L49" s="6"/>
      <c r="M49" s="6"/>
      <c r="N49" s="6"/>
      <c r="O49" s="8"/>
      <c r="P49" s="6"/>
      <c r="Q49" s="8"/>
      <c r="R49" s="8"/>
      <c r="S49" s="8"/>
    </row>
    <row r="50" spans="1:19" s="2" customFormat="1" x14ac:dyDescent="0.75">
      <c r="A50" s="38" t="s">
        <v>111</v>
      </c>
      <c r="B50" s="34">
        <v>0.75</v>
      </c>
      <c r="C50" s="39" t="s">
        <v>112</v>
      </c>
      <c r="D50" s="6"/>
      <c r="E50" s="6"/>
      <c r="F50" s="7"/>
      <c r="G50" s="6"/>
      <c r="H50" s="8"/>
      <c r="I50" s="6"/>
      <c r="J50" s="6"/>
      <c r="K50" s="6"/>
      <c r="L50" s="6"/>
      <c r="M50" s="6"/>
      <c r="N50" s="6"/>
      <c r="O50" s="8"/>
      <c r="P50" s="6"/>
      <c r="Q50" s="8"/>
      <c r="R50" s="8"/>
      <c r="S50" s="8"/>
    </row>
    <row r="51" spans="1:19" s="2" customFormat="1" x14ac:dyDescent="0.75">
      <c r="A51" s="41" t="s">
        <v>113</v>
      </c>
      <c r="B51" s="45">
        <f>B50*B16*B40/100/B26</f>
        <v>12.768720354679543</v>
      </c>
      <c r="C51" s="13" t="s">
        <v>119</v>
      </c>
      <c r="D51" s="6"/>
      <c r="E51" s="6"/>
      <c r="F51" s="7"/>
      <c r="G51" s="6"/>
      <c r="H51" s="8"/>
      <c r="I51" s="6"/>
      <c r="J51" s="6"/>
      <c r="K51" s="6"/>
      <c r="L51" s="6"/>
      <c r="M51" s="6"/>
      <c r="N51" s="6"/>
      <c r="O51" s="8"/>
      <c r="P51" s="6"/>
      <c r="Q51" s="8"/>
      <c r="R51" s="8"/>
      <c r="S51" s="8"/>
    </row>
    <row r="52" spans="1:19" s="2" customFormat="1" x14ac:dyDescent="0.75">
      <c r="A52" s="30"/>
      <c r="B52" s="31"/>
      <c r="C52" s="32"/>
      <c r="D52" s="6"/>
      <c r="E52" s="6"/>
      <c r="F52" s="7"/>
      <c r="G52" s="6"/>
      <c r="H52" s="8"/>
      <c r="I52" s="6"/>
      <c r="J52" s="6"/>
      <c r="K52" s="6"/>
      <c r="L52" s="6"/>
      <c r="M52" s="6"/>
      <c r="N52" s="6"/>
      <c r="O52" s="8"/>
      <c r="P52" s="6"/>
      <c r="Q52" s="8"/>
      <c r="R52" s="8"/>
      <c r="S52" s="8"/>
    </row>
    <row r="80" spans="3:3" x14ac:dyDescent="0.75">
      <c r="C80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27"/>
  <sheetViews>
    <sheetView workbookViewId="0">
      <selection activeCell="E11" sqref="E11"/>
    </sheetView>
  </sheetViews>
  <sheetFormatPr defaultRowHeight="14.75" x14ac:dyDescent="0.75"/>
  <cols>
    <col min="5" max="5" width="10.86328125" customWidth="1"/>
    <col min="6" max="6" width="11.54296875" customWidth="1"/>
    <col min="7" max="7" width="13.1328125" customWidth="1"/>
    <col min="8" max="8" width="11.1328125" customWidth="1"/>
    <col min="9" max="9" width="16.26953125" customWidth="1"/>
    <col min="10" max="10" width="16.1328125" customWidth="1"/>
    <col min="11" max="11" width="14" customWidth="1"/>
    <col min="12" max="12" width="13" customWidth="1"/>
    <col min="13" max="13" width="15.1328125" customWidth="1"/>
    <col min="14" max="14" width="13.54296875" customWidth="1"/>
    <col min="16" max="16" width="12.86328125" customWidth="1"/>
    <col min="17" max="17" width="18.7265625" customWidth="1"/>
    <col min="18" max="18" width="14.40625" customWidth="1"/>
  </cols>
  <sheetData>
    <row r="1" spans="1:19" x14ac:dyDescent="0.75">
      <c r="A1" s="1" t="s">
        <v>88</v>
      </c>
      <c r="B1" s="3"/>
      <c r="C1" s="3"/>
      <c r="D1" s="90" t="s">
        <v>127</v>
      </c>
      <c r="E1" s="90"/>
      <c r="F1" s="90"/>
      <c r="G1" s="86" t="s">
        <v>123</v>
      </c>
      <c r="H1" s="86"/>
      <c r="I1" s="86"/>
      <c r="J1" s="86"/>
      <c r="K1" s="87" t="s">
        <v>124</v>
      </c>
      <c r="L1" s="88"/>
      <c r="M1" s="88"/>
      <c r="N1" s="88"/>
      <c r="O1" s="89"/>
      <c r="P1" s="91" t="s">
        <v>130</v>
      </c>
      <c r="Q1" s="92"/>
      <c r="R1" s="92"/>
      <c r="S1" s="93"/>
    </row>
    <row r="2" spans="1:19" x14ac:dyDescent="0.75">
      <c r="A2" s="3" t="s">
        <v>0</v>
      </c>
      <c r="B2" s="3" t="s">
        <v>40</v>
      </c>
      <c r="C2" s="3" t="s">
        <v>6</v>
      </c>
      <c r="D2" s="3" t="s">
        <v>3</v>
      </c>
      <c r="E2" s="3" t="s">
        <v>2</v>
      </c>
      <c r="F2" s="3" t="s">
        <v>5</v>
      </c>
      <c r="G2" s="3" t="s">
        <v>8</v>
      </c>
      <c r="H2" s="3" t="s">
        <v>69</v>
      </c>
      <c r="I2" s="3" t="s">
        <v>126</v>
      </c>
      <c r="J2" s="3" t="s">
        <v>125</v>
      </c>
      <c r="K2" s="3" t="s">
        <v>50</v>
      </c>
      <c r="L2" s="3" t="s">
        <v>22</v>
      </c>
      <c r="M2" s="3" t="s">
        <v>7</v>
      </c>
      <c r="N2" s="3" t="s">
        <v>51</v>
      </c>
      <c r="O2" s="3" t="s">
        <v>21</v>
      </c>
      <c r="P2" s="3" t="s">
        <v>8</v>
      </c>
      <c r="Q2" s="3" t="s">
        <v>69</v>
      </c>
      <c r="R2" s="3" t="s">
        <v>126</v>
      </c>
      <c r="S2" s="3" t="s">
        <v>125</v>
      </c>
    </row>
    <row r="3" spans="1:19" x14ac:dyDescent="0.75">
      <c r="A3" s="3" t="s">
        <v>24</v>
      </c>
      <c r="B3" s="3" t="s">
        <v>25</v>
      </c>
      <c r="C3" s="3" t="s">
        <v>10</v>
      </c>
      <c r="D3" s="3" t="s">
        <v>12</v>
      </c>
      <c r="E3" s="3" t="s">
        <v>17</v>
      </c>
      <c r="F3" s="3" t="s">
        <v>52</v>
      </c>
      <c r="G3" s="3" t="s">
        <v>23</v>
      </c>
      <c r="H3" s="3" t="s">
        <v>86</v>
      </c>
      <c r="I3" s="3" t="s">
        <v>23</v>
      </c>
      <c r="J3" s="3" t="s">
        <v>87</v>
      </c>
      <c r="K3" s="3" t="s">
        <v>76</v>
      </c>
      <c r="L3" s="3" t="s">
        <v>76</v>
      </c>
      <c r="M3" s="3" t="s">
        <v>23</v>
      </c>
      <c r="N3" s="3" t="s">
        <v>23</v>
      </c>
      <c r="O3" s="3" t="s">
        <v>25</v>
      </c>
      <c r="P3" s="3" t="s">
        <v>23</v>
      </c>
      <c r="Q3" s="3" t="s">
        <v>86</v>
      </c>
      <c r="R3" s="3" t="s">
        <v>23</v>
      </c>
      <c r="S3" s="3" t="s">
        <v>23</v>
      </c>
    </row>
    <row r="4" spans="1:19" x14ac:dyDescent="0.75">
      <c r="A4" s="11">
        <f>Inputs!B2</f>
        <v>48</v>
      </c>
      <c r="B4" s="11">
        <f>A4/Inputs!$B$16*100</f>
        <v>27.428571428571431</v>
      </c>
      <c r="C4" s="11">
        <f>Inputs!B3</f>
        <v>65</v>
      </c>
      <c r="D4" s="85">
        <v>0.7995812722283262</v>
      </c>
      <c r="E4" s="85">
        <v>2.9890645053996687</v>
      </c>
      <c r="F4" s="27">
        <v>0.115</v>
      </c>
      <c r="G4" s="28">
        <v>0.85</v>
      </c>
      <c r="H4" s="28">
        <v>0.3</v>
      </c>
      <c r="I4" s="28">
        <v>1</v>
      </c>
      <c r="J4" s="28">
        <v>2E-3</v>
      </c>
      <c r="K4" s="15">
        <v>2</v>
      </c>
      <c r="L4" s="14">
        <v>4</v>
      </c>
      <c r="M4" s="15">
        <v>0</v>
      </c>
      <c r="N4" s="15">
        <v>2</v>
      </c>
      <c r="O4" s="15">
        <v>5</v>
      </c>
      <c r="P4" s="47">
        <f>G4</f>
        <v>0.85</v>
      </c>
      <c r="Q4" s="9">
        <f>H4</f>
        <v>0.3</v>
      </c>
      <c r="R4" s="9">
        <f>I4</f>
        <v>1</v>
      </c>
      <c r="S4" s="47">
        <f>J4*(C5-C4)*Inputs!$B$29</f>
        <v>0.25013092095394712</v>
      </c>
    </row>
    <row r="5" spans="1:19" x14ac:dyDescent="0.75">
      <c r="A5" s="11">
        <f>A4+10</f>
        <v>58</v>
      </c>
      <c r="B5" s="11">
        <f>A5/Inputs!$B$16*100</f>
        <v>33.142857142857139</v>
      </c>
      <c r="C5" s="11">
        <f t="shared" ref="C5:C18" si="0">C4+(A5-A4)/D4</f>
        <v>77.506546047697356</v>
      </c>
      <c r="D5" s="85">
        <v>0.80548945537627681</v>
      </c>
      <c r="E5" s="85">
        <v>3.4115902842158219</v>
      </c>
      <c r="F5" s="27">
        <v>0.115</v>
      </c>
      <c r="G5" s="28"/>
      <c r="H5" s="28">
        <v>0.3</v>
      </c>
      <c r="I5" s="28">
        <v>0.4</v>
      </c>
      <c r="J5" s="81">
        <v>2E-3</v>
      </c>
      <c r="K5" s="15">
        <v>2.1</v>
      </c>
      <c r="L5" s="14">
        <v>4</v>
      </c>
      <c r="M5" s="15">
        <v>0</v>
      </c>
      <c r="N5" s="15">
        <v>2</v>
      </c>
      <c r="O5" s="15">
        <v>5</v>
      </c>
      <c r="P5" s="47">
        <f>G5+P4</f>
        <v>0.85</v>
      </c>
      <c r="Q5" s="9">
        <f>H5+Q4</f>
        <v>0.6</v>
      </c>
      <c r="R5" s="9">
        <f>I5+R4</f>
        <v>1.4</v>
      </c>
      <c r="S5" s="47">
        <f>J5*(C6-C5)*Inputs!$B$29+S4</f>
        <v>0.49842715706863572</v>
      </c>
    </row>
    <row r="6" spans="1:19" x14ac:dyDescent="0.75">
      <c r="A6" s="11">
        <f t="shared" ref="A6:A18" si="1">A5+10</f>
        <v>68</v>
      </c>
      <c r="B6" s="11">
        <f>A6/Inputs!$B$16*100</f>
        <v>38.857142857142854</v>
      </c>
      <c r="C6" s="11">
        <f t="shared" si="0"/>
        <v>89.921357853431786</v>
      </c>
      <c r="D6" s="85">
        <v>0.77446414795503105</v>
      </c>
      <c r="E6" s="85">
        <v>3.95886627947305</v>
      </c>
      <c r="F6" s="27">
        <v>0.115</v>
      </c>
      <c r="G6" s="28"/>
      <c r="H6" s="28">
        <v>0.2</v>
      </c>
      <c r="I6" s="81">
        <v>0.4</v>
      </c>
      <c r="J6" s="81">
        <v>2E-3</v>
      </c>
      <c r="K6" s="15">
        <v>2.2000000000000002</v>
      </c>
      <c r="L6" s="14">
        <v>4.5</v>
      </c>
      <c r="M6" s="15">
        <v>0</v>
      </c>
      <c r="N6" s="15">
        <v>2</v>
      </c>
      <c r="O6" s="15">
        <v>5</v>
      </c>
      <c r="P6" s="47">
        <f t="shared" ref="P6:P18" si="2">G6+P5</f>
        <v>0.85</v>
      </c>
      <c r="Q6" s="9">
        <v>2</v>
      </c>
      <c r="R6" s="9">
        <f t="shared" ref="R6:R18" si="3">I6+R5</f>
        <v>1.7999999999999998</v>
      </c>
      <c r="S6" s="47">
        <f>J6*(C7-C6)*Inputs!$B$29+S5</f>
        <v>0.75667022813667562</v>
      </c>
    </row>
    <row r="7" spans="1:19" x14ac:dyDescent="0.75">
      <c r="A7" s="11">
        <f t="shared" si="1"/>
        <v>78</v>
      </c>
      <c r="B7" s="11">
        <f>A7/Inputs!$B$16*100</f>
        <v>44.571428571428569</v>
      </c>
      <c r="C7" s="11">
        <f t="shared" si="0"/>
        <v>102.83351140683378</v>
      </c>
      <c r="D7" s="85">
        <v>0.72062550635879374</v>
      </c>
      <c r="E7" s="85">
        <v>4.6404130446293825</v>
      </c>
      <c r="F7" s="27">
        <v>0.115</v>
      </c>
      <c r="G7" s="28"/>
      <c r="H7" s="28">
        <v>0.2</v>
      </c>
      <c r="I7" s="81">
        <v>0.4</v>
      </c>
      <c r="J7" s="81">
        <v>2E-3</v>
      </c>
      <c r="K7" s="15">
        <v>2.2999999999999998</v>
      </c>
      <c r="L7" s="14">
        <v>4.5</v>
      </c>
      <c r="M7" s="15">
        <v>0</v>
      </c>
      <c r="N7" s="15">
        <v>2</v>
      </c>
      <c r="O7" s="15">
        <v>5</v>
      </c>
      <c r="P7" s="47">
        <f t="shared" si="2"/>
        <v>0.85</v>
      </c>
      <c r="Q7" s="9">
        <f t="shared" ref="Q7:Q18" si="4">H7+Q6</f>
        <v>2.2000000000000002</v>
      </c>
      <c r="R7" s="9">
        <f t="shared" si="3"/>
        <v>2.1999999999999997</v>
      </c>
      <c r="S7" s="47">
        <f>J7*(C8-C7)*Inputs!$B$29+S6</f>
        <v>1.0342068934853228</v>
      </c>
    </row>
    <row r="8" spans="1:19" x14ac:dyDescent="0.75">
      <c r="A8" s="11">
        <f t="shared" si="1"/>
        <v>88</v>
      </c>
      <c r="B8" s="11">
        <f>A8/Inputs!$B$16*100</f>
        <v>50.285714285714292</v>
      </c>
      <c r="C8" s="11">
        <f t="shared" si="0"/>
        <v>116.71034467426614</v>
      </c>
      <c r="D8" s="85">
        <v>0.65537759149894059</v>
      </c>
      <c r="E8" s="85">
        <v>5.4655515331359776</v>
      </c>
      <c r="F8" s="27">
        <v>0.115</v>
      </c>
      <c r="G8" s="28"/>
      <c r="H8" s="28">
        <v>0.15</v>
      </c>
      <c r="I8" s="81">
        <v>0.4</v>
      </c>
      <c r="J8" s="81">
        <v>2E-3</v>
      </c>
      <c r="K8" s="15">
        <v>2.4</v>
      </c>
      <c r="L8" s="14">
        <v>5</v>
      </c>
      <c r="M8" s="15">
        <v>0</v>
      </c>
      <c r="N8" s="15">
        <v>2</v>
      </c>
      <c r="O8" s="15">
        <v>4</v>
      </c>
      <c r="P8" s="47">
        <f t="shared" si="2"/>
        <v>0.85</v>
      </c>
      <c r="Q8" s="9">
        <f t="shared" si="4"/>
        <v>2.35</v>
      </c>
      <c r="R8" s="9">
        <f t="shared" si="3"/>
        <v>2.5999999999999996</v>
      </c>
      <c r="S8" s="47">
        <f>J8*(C9-C8)*Inputs!$B$29+S7</f>
        <v>1.33937448327516</v>
      </c>
    </row>
    <row r="9" spans="1:19" x14ac:dyDescent="0.75">
      <c r="A9" s="11">
        <f t="shared" si="1"/>
        <v>98</v>
      </c>
      <c r="B9" s="11">
        <f>A9/Inputs!$B$16*100</f>
        <v>56.000000000000007</v>
      </c>
      <c r="C9" s="11">
        <f t="shared" si="0"/>
        <v>131.968724163758</v>
      </c>
      <c r="D9" s="85">
        <v>0.58663869534177293</v>
      </c>
      <c r="E9" s="85">
        <v>6.4434890333952319</v>
      </c>
      <c r="F9" s="27">
        <v>0.11</v>
      </c>
      <c r="G9" s="28"/>
      <c r="H9" s="28">
        <v>0.15</v>
      </c>
      <c r="I9" s="81">
        <v>0.4</v>
      </c>
      <c r="J9" s="81">
        <v>2E-3</v>
      </c>
      <c r="K9" s="15">
        <v>2.5</v>
      </c>
      <c r="L9" s="14">
        <v>5</v>
      </c>
      <c r="M9" s="15">
        <v>0</v>
      </c>
      <c r="N9" s="15">
        <v>2</v>
      </c>
      <c r="O9" s="15">
        <v>4</v>
      </c>
      <c r="P9" s="47">
        <f t="shared" si="2"/>
        <v>0.85</v>
      </c>
      <c r="Q9" s="9">
        <f t="shared" si="4"/>
        <v>2.5</v>
      </c>
      <c r="R9" s="9">
        <f t="shared" si="3"/>
        <v>2.9999999999999996</v>
      </c>
      <c r="S9" s="47">
        <f>J9*(C10-C9)*Inputs!$B$29+S8</f>
        <v>1.6802998289574476</v>
      </c>
    </row>
    <row r="10" spans="1:19" x14ac:dyDescent="0.75">
      <c r="A10" s="11">
        <f t="shared" si="1"/>
        <v>108</v>
      </c>
      <c r="B10" s="11">
        <f>A10/Inputs!$B$16*100</f>
        <v>61.714285714285708</v>
      </c>
      <c r="C10" s="11">
        <f t="shared" si="0"/>
        <v>149.01499144787238</v>
      </c>
      <c r="D10" s="85">
        <v>0.51923926932535602</v>
      </c>
      <c r="E10" s="85">
        <v>7.5841721392078352</v>
      </c>
      <c r="F10" s="27">
        <v>0.11</v>
      </c>
      <c r="G10" s="28">
        <v>0.85</v>
      </c>
      <c r="H10" s="81">
        <v>0.15</v>
      </c>
      <c r="I10" s="81">
        <v>0.4</v>
      </c>
      <c r="J10" s="81">
        <v>2E-3</v>
      </c>
      <c r="K10" s="15">
        <v>2.6</v>
      </c>
      <c r="L10" s="14">
        <v>5.5</v>
      </c>
      <c r="M10" s="15">
        <v>0</v>
      </c>
      <c r="N10" s="15">
        <v>2</v>
      </c>
      <c r="O10" s="15">
        <v>4</v>
      </c>
      <c r="P10" s="47">
        <f t="shared" si="2"/>
        <v>1.7</v>
      </c>
      <c r="Q10" s="9">
        <f t="shared" si="4"/>
        <v>2.65</v>
      </c>
      <c r="R10" s="9">
        <f t="shared" si="3"/>
        <v>3.3999999999999995</v>
      </c>
      <c r="S10" s="47">
        <f>J10*(C11-C10)*Inputs!$B$29+S9</f>
        <v>2.0654787085515478</v>
      </c>
    </row>
    <row r="11" spans="1:19" x14ac:dyDescent="0.75">
      <c r="A11" s="11">
        <f t="shared" si="1"/>
        <v>118</v>
      </c>
      <c r="B11" s="11">
        <f>A11/Inputs!$B$16*100</f>
        <v>67.428571428571431</v>
      </c>
      <c r="C11" s="11">
        <f t="shared" si="0"/>
        <v>168.27393542757738</v>
      </c>
      <c r="D11" s="85">
        <v>0.45573186334741117</v>
      </c>
      <c r="E11" s="85">
        <v>8.8999701934557311</v>
      </c>
      <c r="F11" s="27">
        <v>0.11</v>
      </c>
      <c r="G11" s="28"/>
      <c r="H11" s="81">
        <v>0.15</v>
      </c>
      <c r="I11" s="81">
        <v>0.4</v>
      </c>
      <c r="J11" s="81">
        <v>2E-3</v>
      </c>
      <c r="K11" s="15">
        <v>2.7</v>
      </c>
      <c r="L11" s="14">
        <v>5.5</v>
      </c>
      <c r="M11" s="15">
        <v>0</v>
      </c>
      <c r="N11" s="15">
        <v>2</v>
      </c>
      <c r="O11" s="15">
        <v>4</v>
      </c>
      <c r="P11" s="47">
        <f t="shared" si="2"/>
        <v>1.7</v>
      </c>
      <c r="Q11" s="9">
        <f t="shared" si="4"/>
        <v>2.8</v>
      </c>
      <c r="R11" s="9">
        <f t="shared" si="3"/>
        <v>3.7999999999999994</v>
      </c>
      <c r="S11" s="47">
        <f>J11*(C12-C11)*Inputs!$B$29+S10</f>
        <v>2.5043332545799371</v>
      </c>
    </row>
    <row r="12" spans="1:19" x14ac:dyDescent="0.75">
      <c r="A12" s="11">
        <f t="shared" si="1"/>
        <v>128</v>
      </c>
      <c r="B12" s="11">
        <f>A12/Inputs!$B$16*100</f>
        <v>73.142857142857139</v>
      </c>
      <c r="C12" s="11">
        <f t="shared" si="0"/>
        <v>190.21666272899685</v>
      </c>
      <c r="D12" s="85">
        <v>0.39717641305340173</v>
      </c>
      <c r="E12" s="85">
        <v>10.408473071748519</v>
      </c>
      <c r="F12" s="27">
        <v>0.11</v>
      </c>
      <c r="G12" s="28"/>
      <c r="H12" s="81">
        <v>0.15</v>
      </c>
      <c r="I12" s="81">
        <v>0.4</v>
      </c>
      <c r="J12" s="81">
        <v>2E-3</v>
      </c>
      <c r="K12" s="15">
        <v>2.8</v>
      </c>
      <c r="L12" s="14">
        <v>6</v>
      </c>
      <c r="M12" s="15">
        <v>0</v>
      </c>
      <c r="N12" s="15">
        <v>2</v>
      </c>
      <c r="O12" s="15">
        <v>4</v>
      </c>
      <c r="P12" s="47">
        <f t="shared" si="2"/>
        <v>1.7</v>
      </c>
      <c r="Q12" s="9">
        <f t="shared" si="4"/>
        <v>2.9499999999999997</v>
      </c>
      <c r="R12" s="9">
        <f t="shared" si="3"/>
        <v>4.1999999999999993</v>
      </c>
      <c r="S12" s="47">
        <f>J12*(C13-C12)*Inputs!$B$29+S11</f>
        <v>3.0078878298943312</v>
      </c>
    </row>
    <row r="13" spans="1:19" x14ac:dyDescent="0.75">
      <c r="A13" s="11">
        <f t="shared" si="1"/>
        <v>138</v>
      </c>
      <c r="B13" s="11">
        <f>A13/Inputs!$B$16*100</f>
        <v>78.857142857142861</v>
      </c>
      <c r="C13" s="11">
        <f t="shared" si="0"/>
        <v>215.39439149471656</v>
      </c>
      <c r="D13" s="85">
        <v>0.34374155492040259</v>
      </c>
      <c r="E13" s="85">
        <v>12.137025449151981</v>
      </c>
      <c r="F13" s="27">
        <v>0.11</v>
      </c>
      <c r="G13" s="28"/>
      <c r="H13" s="81">
        <v>0.15</v>
      </c>
      <c r="I13" s="81">
        <v>0.4</v>
      </c>
      <c r="J13" s="81">
        <v>2E-3</v>
      </c>
      <c r="K13" s="15">
        <v>2.9</v>
      </c>
      <c r="L13" s="14">
        <v>6</v>
      </c>
      <c r="M13" s="15">
        <v>0</v>
      </c>
      <c r="N13" s="15">
        <v>2.75</v>
      </c>
      <c r="O13" s="15">
        <v>3</v>
      </c>
      <c r="P13" s="47">
        <f t="shared" si="2"/>
        <v>1.7</v>
      </c>
      <c r="Q13" s="9">
        <f t="shared" si="4"/>
        <v>3.0999999999999996</v>
      </c>
      <c r="R13" s="9">
        <f t="shared" si="3"/>
        <v>4.5999999999999996</v>
      </c>
      <c r="S13" s="47">
        <f>J13*(C14-C13)*Inputs!$B$29+S12</f>
        <v>3.5897203058843594</v>
      </c>
    </row>
    <row r="14" spans="1:19" x14ac:dyDescent="0.75">
      <c r="A14" s="11">
        <f t="shared" si="1"/>
        <v>148</v>
      </c>
      <c r="B14" s="11">
        <f>A14/Inputs!$B$16*100</f>
        <v>84.571428571428569</v>
      </c>
      <c r="C14" s="11">
        <f t="shared" si="0"/>
        <v>244.48601529421796</v>
      </c>
      <c r="D14" s="85">
        <v>0.29511059472295603</v>
      </c>
      <c r="E14" s="85">
        <v>14.130295809659806</v>
      </c>
      <c r="F14" s="27">
        <v>0.11</v>
      </c>
      <c r="G14" s="28"/>
      <c r="H14" s="81">
        <v>0.15</v>
      </c>
      <c r="I14" s="81">
        <v>0.4</v>
      </c>
      <c r="J14" s="81">
        <v>2E-3</v>
      </c>
      <c r="K14" s="15">
        <v>3</v>
      </c>
      <c r="L14" s="14">
        <v>6.5</v>
      </c>
      <c r="M14" s="15">
        <v>3.5</v>
      </c>
      <c r="N14" s="15">
        <v>2.75</v>
      </c>
      <c r="O14" s="15">
        <v>3</v>
      </c>
      <c r="P14" s="47">
        <f t="shared" si="2"/>
        <v>1.7</v>
      </c>
      <c r="Q14" s="9">
        <f t="shared" si="4"/>
        <v>3.2499999999999996</v>
      </c>
      <c r="R14" s="9">
        <f t="shared" si="3"/>
        <v>5</v>
      </c>
      <c r="S14" s="47">
        <f>J14*(C15-C14)*Inputs!$B$29+S13</f>
        <v>4.2674323351246386</v>
      </c>
    </row>
    <row r="15" spans="1:19" x14ac:dyDescent="0.75">
      <c r="A15" s="11">
        <f t="shared" si="1"/>
        <v>158</v>
      </c>
      <c r="B15" s="11">
        <f>A15/Inputs!$B$16*100</f>
        <v>90.285714285714278</v>
      </c>
      <c r="C15" s="11">
        <f t="shared" si="0"/>
        <v>278.3716167562319</v>
      </c>
      <c r="D15" s="85">
        <v>0.25073374395891568</v>
      </c>
      <c r="E15" s="85">
        <v>16.463679498505787</v>
      </c>
      <c r="F15" s="27">
        <v>0.11</v>
      </c>
      <c r="G15" s="28"/>
      <c r="H15" s="81">
        <v>0.15</v>
      </c>
      <c r="I15" s="81">
        <v>0.4</v>
      </c>
      <c r="J15" s="81">
        <v>2E-3</v>
      </c>
      <c r="K15" s="15">
        <v>3.1</v>
      </c>
      <c r="L15" s="14">
        <v>6.5</v>
      </c>
      <c r="M15" s="15">
        <v>3.5</v>
      </c>
      <c r="N15" s="15">
        <v>2.75</v>
      </c>
      <c r="O15" s="15">
        <v>3</v>
      </c>
      <c r="P15" s="47">
        <f t="shared" si="2"/>
        <v>1.7</v>
      </c>
      <c r="Q15" s="9">
        <f t="shared" si="4"/>
        <v>3.3999999999999995</v>
      </c>
      <c r="R15" s="9">
        <f t="shared" si="3"/>
        <v>5.4</v>
      </c>
      <c r="S15" s="47">
        <f>J15*(C16-C15)*Inputs!$B$29+S14</f>
        <v>5.0650912255561211</v>
      </c>
    </row>
    <row r="16" spans="1:19" x14ac:dyDescent="0.75">
      <c r="A16" s="11">
        <f t="shared" si="1"/>
        <v>168</v>
      </c>
      <c r="B16" s="11">
        <f>A16/Inputs!$B$16*100</f>
        <v>96</v>
      </c>
      <c r="C16" s="11">
        <f t="shared" si="0"/>
        <v>318.25456127780603</v>
      </c>
      <c r="D16" s="85">
        <v>0.20997477820430568</v>
      </c>
      <c r="E16" s="85">
        <v>19.268980944288639</v>
      </c>
      <c r="F16" s="27">
        <v>0.11</v>
      </c>
      <c r="G16" s="28"/>
      <c r="H16" s="81">
        <v>0.15</v>
      </c>
      <c r="I16" s="81">
        <v>0.4</v>
      </c>
      <c r="J16" s="81">
        <v>2E-3</v>
      </c>
      <c r="K16" s="15">
        <v>3.2</v>
      </c>
      <c r="L16" s="14">
        <v>6</v>
      </c>
      <c r="M16" s="15">
        <v>3.5</v>
      </c>
      <c r="N16" s="15">
        <v>2.75</v>
      </c>
      <c r="O16" s="15">
        <v>3</v>
      </c>
      <c r="P16" s="47">
        <f t="shared" si="2"/>
        <v>1.7</v>
      </c>
      <c r="Q16" s="9">
        <f t="shared" si="4"/>
        <v>3.5499999999999994</v>
      </c>
      <c r="R16" s="9">
        <f t="shared" si="3"/>
        <v>5.8000000000000007</v>
      </c>
      <c r="S16" s="47">
        <f>J16*(C17-C16)*Inputs!$B$29+S15</f>
        <v>6.017586576237715</v>
      </c>
    </row>
    <row r="17" spans="1:19" x14ac:dyDescent="0.75">
      <c r="A17" s="11">
        <f t="shared" si="1"/>
        <v>178</v>
      </c>
      <c r="B17" s="11">
        <f>A17/Inputs!$B$16*100</f>
        <v>101.71428571428571</v>
      </c>
      <c r="C17" s="11">
        <f t="shared" si="0"/>
        <v>365.87932881188573</v>
      </c>
      <c r="D17" s="15"/>
      <c r="E17" s="15"/>
      <c r="F17" s="27">
        <v>0.11</v>
      </c>
      <c r="G17" s="28"/>
      <c r="H17" s="81">
        <v>0.15</v>
      </c>
      <c r="I17" s="81">
        <v>0.4</v>
      </c>
      <c r="J17" s="81">
        <v>2E-3</v>
      </c>
      <c r="K17" s="15">
        <v>3.3</v>
      </c>
      <c r="L17" s="14">
        <v>6</v>
      </c>
      <c r="M17" s="15">
        <v>3.5</v>
      </c>
      <c r="N17" s="15">
        <v>2.75</v>
      </c>
      <c r="O17" s="15">
        <v>3</v>
      </c>
      <c r="P17" s="47">
        <f t="shared" si="2"/>
        <v>1.7</v>
      </c>
      <c r="Q17" s="9">
        <f t="shared" si="4"/>
        <v>3.6999999999999993</v>
      </c>
      <c r="R17" s="9">
        <f t="shared" si="3"/>
        <v>6.2000000000000011</v>
      </c>
      <c r="S17" s="47" t="e">
        <f>J17*(C18-C17)*Inputs!$B$29+S16</f>
        <v>#DIV/0!</v>
      </c>
    </row>
    <row r="18" spans="1:19" x14ac:dyDescent="0.75">
      <c r="A18" s="11">
        <f t="shared" si="1"/>
        <v>188</v>
      </c>
      <c r="B18" s="11">
        <f>A18/Inputs!$B$16*100</f>
        <v>107.42857142857143</v>
      </c>
      <c r="C18" s="11" t="e">
        <f t="shared" si="0"/>
        <v>#DIV/0!</v>
      </c>
      <c r="D18" s="15"/>
      <c r="E18" s="15"/>
      <c r="F18" s="27">
        <v>0.11</v>
      </c>
      <c r="G18" s="28"/>
      <c r="H18" s="81">
        <v>0.15</v>
      </c>
      <c r="I18" s="81">
        <v>0.4</v>
      </c>
      <c r="J18" s="81">
        <v>2E-3</v>
      </c>
      <c r="K18" s="15">
        <v>3.4</v>
      </c>
      <c r="L18" s="14">
        <v>6</v>
      </c>
      <c r="M18" s="15">
        <v>3.5</v>
      </c>
      <c r="N18" s="15">
        <v>2.75</v>
      </c>
      <c r="O18" s="15">
        <v>3</v>
      </c>
      <c r="P18" s="47">
        <f t="shared" si="2"/>
        <v>1.7</v>
      </c>
      <c r="Q18" s="9">
        <f t="shared" si="4"/>
        <v>3.8499999999999992</v>
      </c>
      <c r="R18" s="9">
        <f t="shared" si="3"/>
        <v>6.6000000000000014</v>
      </c>
      <c r="S18" s="47" t="e">
        <f>J18*(C18-C17)*Inputs!$B$29+S17</f>
        <v>#DIV/0!</v>
      </c>
    </row>
    <row r="24" spans="1:19" x14ac:dyDescent="0.75">
      <c r="L24">
        <f>100/35</f>
        <v>2.8571428571428572</v>
      </c>
    </row>
    <row r="25" spans="1:19" x14ac:dyDescent="0.75">
      <c r="K25">
        <f>0.25/200</f>
        <v>1.25E-3</v>
      </c>
      <c r="L25">
        <v>150</v>
      </c>
      <c r="M25">
        <f>251/7433</f>
        <v>3.3768330418404414E-2</v>
      </c>
      <c r="N25">
        <f>L25*M25</f>
        <v>5.0652495627606617</v>
      </c>
    </row>
    <row r="26" spans="1:19" x14ac:dyDescent="0.75">
      <c r="L26">
        <v>200</v>
      </c>
      <c r="M26">
        <f t="shared" ref="M26:M27" si="5">251/7433</f>
        <v>3.3768330418404414E-2</v>
      </c>
      <c r="N26">
        <f t="shared" ref="N26:N27" si="6">L26*M26</f>
        <v>6.7536660836808826</v>
      </c>
    </row>
    <row r="27" spans="1:19" x14ac:dyDescent="0.75">
      <c r="L27">
        <v>250</v>
      </c>
      <c r="M27">
        <f t="shared" si="5"/>
        <v>3.3768330418404414E-2</v>
      </c>
      <c r="N27">
        <f t="shared" si="6"/>
        <v>8.4420826046011044</v>
      </c>
    </row>
  </sheetData>
  <mergeCells count="4">
    <mergeCell ref="G1:J1"/>
    <mergeCell ref="K1:O1"/>
    <mergeCell ref="D1:F1"/>
    <mergeCell ref="P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S21"/>
  <sheetViews>
    <sheetView tabSelected="1" zoomScaleNormal="100" workbookViewId="0">
      <selection activeCell="J6" sqref="J6:K18"/>
    </sheetView>
  </sheetViews>
  <sheetFormatPr defaultRowHeight="14.75" x14ac:dyDescent="0.75"/>
  <cols>
    <col min="1" max="1" width="12.54296875" customWidth="1"/>
    <col min="2" max="2" width="8.7265625" style="82"/>
    <col min="8" max="8" width="8.7265625" style="82"/>
    <col min="14" max="14" width="8.7265625" style="83"/>
  </cols>
  <sheetData>
    <row r="1" spans="1:19" s="58" customFormat="1" x14ac:dyDescent="0.75">
      <c r="A1" s="58" t="s">
        <v>164</v>
      </c>
      <c r="B1" s="95" t="s">
        <v>178</v>
      </c>
      <c r="C1" s="95"/>
      <c r="D1" s="95"/>
      <c r="E1" s="95"/>
      <c r="F1" s="95"/>
      <c r="G1" s="95"/>
      <c r="H1" s="96" t="s">
        <v>179</v>
      </c>
      <c r="I1" s="96"/>
      <c r="J1" s="96"/>
      <c r="K1" s="96"/>
      <c r="L1" s="96"/>
      <c r="M1" s="96"/>
      <c r="N1" s="94" t="s">
        <v>180</v>
      </c>
      <c r="O1" s="94"/>
      <c r="P1" s="94"/>
      <c r="Q1" s="94"/>
      <c r="R1" s="94"/>
      <c r="S1" s="94"/>
    </row>
    <row r="2" spans="1:19" s="58" customFormat="1" x14ac:dyDescent="0.75">
      <c r="A2" s="58" t="s">
        <v>160</v>
      </c>
      <c r="B2" s="95" t="s">
        <v>165</v>
      </c>
      <c r="C2" s="95"/>
      <c r="D2" s="95" t="s">
        <v>162</v>
      </c>
      <c r="E2" s="95"/>
      <c r="F2" s="95" t="s">
        <v>161</v>
      </c>
      <c r="G2" s="95"/>
      <c r="H2" s="96" t="s">
        <v>165</v>
      </c>
      <c r="I2" s="96"/>
      <c r="J2" s="96" t="s">
        <v>162</v>
      </c>
      <c r="K2" s="96"/>
      <c r="L2" s="96" t="s">
        <v>161</v>
      </c>
      <c r="M2" s="96"/>
      <c r="N2" s="94" t="s">
        <v>165</v>
      </c>
      <c r="O2" s="94"/>
      <c r="P2" s="94" t="s">
        <v>162</v>
      </c>
      <c r="Q2" s="94"/>
      <c r="R2" s="94" t="s">
        <v>161</v>
      </c>
      <c r="S2" s="94"/>
    </row>
    <row r="3" spans="1:19" s="58" customFormat="1" x14ac:dyDescent="0.75">
      <c r="A3" s="58" t="s">
        <v>146</v>
      </c>
      <c r="B3" s="73" t="s">
        <v>3</v>
      </c>
      <c r="C3" s="73" t="s">
        <v>163</v>
      </c>
      <c r="D3" s="73" t="s">
        <v>3</v>
      </c>
      <c r="E3" s="73" t="s">
        <v>163</v>
      </c>
      <c r="F3" s="73" t="s">
        <v>3</v>
      </c>
      <c r="G3" s="73" t="s">
        <v>163</v>
      </c>
      <c r="H3" s="74" t="s">
        <v>3</v>
      </c>
      <c r="I3" s="74" t="s">
        <v>163</v>
      </c>
      <c r="J3" s="74" t="s">
        <v>3</v>
      </c>
      <c r="K3" s="74" t="s">
        <v>163</v>
      </c>
      <c r="L3" s="74" t="s">
        <v>3</v>
      </c>
      <c r="M3" s="74" t="s">
        <v>163</v>
      </c>
      <c r="N3" s="72" t="s">
        <v>3</v>
      </c>
      <c r="O3" s="72" t="s">
        <v>163</v>
      </c>
      <c r="P3" s="72" t="s">
        <v>3</v>
      </c>
      <c r="Q3" s="72" t="s">
        <v>163</v>
      </c>
      <c r="R3" s="72" t="s">
        <v>3</v>
      </c>
      <c r="S3" s="72" t="s">
        <v>163</v>
      </c>
    </row>
    <row r="4" spans="1:19" x14ac:dyDescent="0.75">
      <c r="A4">
        <v>30</v>
      </c>
      <c r="B4" s="84">
        <v>0.30868280913898488</v>
      </c>
      <c r="C4" s="64">
        <v>4.0258344344450068</v>
      </c>
      <c r="D4" s="64">
        <v>0.54977192327600255</v>
      </c>
      <c r="E4" s="64">
        <v>2.744774580353452</v>
      </c>
      <c r="F4" s="64">
        <v>0.81077976506211447</v>
      </c>
      <c r="G4" s="64">
        <v>2.1896132515234297</v>
      </c>
      <c r="H4" s="84">
        <v>0.35179824841697693</v>
      </c>
      <c r="I4" s="64">
        <v>3.6377802096543763</v>
      </c>
      <c r="J4" s="64">
        <v>0.62491498776777044</v>
      </c>
      <c r="K4" s="64">
        <v>2.4867382450706943</v>
      </c>
      <c r="L4" s="64">
        <v>0.92627678422196746</v>
      </c>
      <c r="M4" s="64">
        <v>1.9737462119956788</v>
      </c>
      <c r="N4" s="84">
        <v>0.37928125992345851</v>
      </c>
      <c r="O4" s="64">
        <v>3.4393225452228906</v>
      </c>
      <c r="P4" s="64">
        <v>0.67259886862940244</v>
      </c>
      <c r="Q4" s="64">
        <v>2.3550441041148606</v>
      </c>
      <c r="R4" s="64">
        <v>1.0000323222956895</v>
      </c>
      <c r="S4" s="64">
        <v>1.8634691801628565</v>
      </c>
    </row>
    <row r="5" spans="1:19" x14ac:dyDescent="0.75">
      <c r="A5">
        <v>40</v>
      </c>
      <c r="B5" s="84">
        <v>0.35243218898579032</v>
      </c>
      <c r="C5" s="64">
        <v>4.4677764531820419</v>
      </c>
      <c r="D5" s="64">
        <v>0.61000371138891785</v>
      </c>
      <c r="E5" s="64">
        <v>3.1344071590098457</v>
      </c>
      <c r="F5" s="64">
        <v>0.88136346986706116</v>
      </c>
      <c r="G5" s="64">
        <v>2.5521953673042157</v>
      </c>
      <c r="H5" s="84">
        <v>0.43017787773264637</v>
      </c>
      <c r="I5" s="64">
        <v>3.8134703645891319</v>
      </c>
      <c r="J5" s="64">
        <v>0.74259685912783036</v>
      </c>
      <c r="K5" s="64">
        <v>2.6824783535168408</v>
      </c>
      <c r="L5" s="64">
        <v>1.0801620796755689</v>
      </c>
      <c r="M5" s="64">
        <v>2.1696090391069776</v>
      </c>
      <c r="N5" s="84">
        <v>0.4822762880938512</v>
      </c>
      <c r="O5" s="64">
        <v>3.4925875446212298</v>
      </c>
      <c r="P5" s="64">
        <v>0.83185877270335529</v>
      </c>
      <c r="Q5" s="64">
        <v>2.4587506923638687</v>
      </c>
      <c r="R5" s="64">
        <v>1.2158078303160371</v>
      </c>
      <c r="S5" s="64">
        <v>1.9791569438884384</v>
      </c>
    </row>
    <row r="6" spans="1:19" x14ac:dyDescent="0.75">
      <c r="A6">
        <v>50</v>
      </c>
      <c r="B6" s="84">
        <v>0.35876371877934116</v>
      </c>
      <c r="C6" s="64">
        <v>5.1992272908574524</v>
      </c>
      <c r="D6" s="64">
        <v>0.60959020608450376</v>
      </c>
      <c r="E6" s="64">
        <v>3.7156108766058766</v>
      </c>
      <c r="F6" s="64">
        <v>0.86716062620486445</v>
      </c>
      <c r="G6" s="64">
        <v>3.072909218693483</v>
      </c>
      <c r="H6" s="84">
        <v>0.47295488024378124</v>
      </c>
      <c r="I6" s="64">
        <v>4.1615709581073226</v>
      </c>
      <c r="J6" s="64">
        <v>0.7995812722283262</v>
      </c>
      <c r="K6" s="64">
        <v>2.9890645053996687</v>
      </c>
      <c r="L6" s="64">
        <v>1.1449372092063044</v>
      </c>
      <c r="M6" s="64">
        <v>2.4558243747109327</v>
      </c>
      <c r="N6" s="84">
        <v>0.55515061177285674</v>
      </c>
      <c r="O6" s="64">
        <v>3.6690272907984003</v>
      </c>
      <c r="P6" s="64">
        <v>0.93797507424286841</v>
      </c>
      <c r="Q6" s="64">
        <v>2.6368859911653866</v>
      </c>
      <c r="R6" s="64">
        <v>1.3510965438641216</v>
      </c>
      <c r="S6" s="64">
        <v>2.1536609909804221</v>
      </c>
    </row>
    <row r="7" spans="1:19" x14ac:dyDescent="0.75">
      <c r="A7">
        <v>60</v>
      </c>
      <c r="B7" s="84">
        <v>0.33877197291514138</v>
      </c>
      <c r="C7" s="64">
        <v>6.2426165636243596</v>
      </c>
      <c r="D7" s="64">
        <v>0.5699267076826724</v>
      </c>
      <c r="E7" s="64">
        <v>4.5058425327030438</v>
      </c>
      <c r="F7" s="64">
        <v>0.80207970758565561</v>
      </c>
      <c r="G7" s="64">
        <v>3.7666786006621398</v>
      </c>
      <c r="H7" s="84">
        <v>0.48385236582134239</v>
      </c>
      <c r="I7" s="64">
        <v>4.6771680441984724</v>
      </c>
      <c r="J7" s="64">
        <v>0.80548945537627681</v>
      </c>
      <c r="K7" s="64">
        <v>3.4115902842158219</v>
      </c>
      <c r="L7" s="64">
        <v>1.1385892913182649</v>
      </c>
      <c r="M7" s="64">
        <v>2.8394270006944042</v>
      </c>
      <c r="N7" s="84">
        <v>0.59735712871236057</v>
      </c>
      <c r="O7" s="64">
        <v>3.9538866105646995</v>
      </c>
      <c r="P7" s="64">
        <v>0.99283932023746113</v>
      </c>
      <c r="Q7" s="64">
        <v>2.8886849478463943</v>
      </c>
      <c r="R7" s="64">
        <v>1.4120304454469237</v>
      </c>
      <c r="S7" s="64">
        <v>2.3895502097271542</v>
      </c>
    </row>
    <row r="8" spans="1:19" x14ac:dyDescent="0.75">
      <c r="A8">
        <v>70</v>
      </c>
      <c r="B8" s="84">
        <v>0.30402250855036805</v>
      </c>
      <c r="C8" s="64">
        <v>7.6414620801122348</v>
      </c>
      <c r="D8" s="64">
        <v>0.51060761332868021</v>
      </c>
      <c r="E8" s="64">
        <v>5.5247903211034002</v>
      </c>
      <c r="F8" s="64">
        <v>0.71430237093193261</v>
      </c>
      <c r="G8" s="64">
        <v>4.6462445939830461</v>
      </c>
      <c r="H8" s="84">
        <v>0.47014606266306719</v>
      </c>
      <c r="I8" s="64">
        <v>5.3705462557071346</v>
      </c>
      <c r="J8" s="64">
        <v>0.77446414795503105</v>
      </c>
      <c r="K8" s="64">
        <v>3.95886627947305</v>
      </c>
      <c r="L8" s="64">
        <v>1.0837668152704094</v>
      </c>
      <c r="M8" s="64">
        <v>3.3282609992348013</v>
      </c>
      <c r="N8" s="84">
        <v>0.61179405224883221</v>
      </c>
      <c r="O8" s="64">
        <v>4.3469709628862008</v>
      </c>
      <c r="P8" s="64">
        <v>1.0035924958793634</v>
      </c>
      <c r="Q8" s="64">
        <v>3.2177734953107056</v>
      </c>
      <c r="R8" s="64">
        <v>1.4117287983332232</v>
      </c>
      <c r="S8" s="64">
        <v>2.6911795599552168</v>
      </c>
    </row>
    <row r="9" spans="1:19" x14ac:dyDescent="0.75">
      <c r="A9">
        <v>80</v>
      </c>
      <c r="B9" s="84">
        <v>0.26328470649164248</v>
      </c>
      <c r="C9" s="64">
        <v>9.4587831338981427</v>
      </c>
      <c r="D9" s="64">
        <v>0.44517959849171695</v>
      </c>
      <c r="E9" s="64">
        <v>6.7927641119346243</v>
      </c>
      <c r="F9" s="64">
        <v>0.62186142509116626</v>
      </c>
      <c r="G9" s="64">
        <v>5.720964374501877</v>
      </c>
      <c r="H9" s="84">
        <v>0.43999489887298182</v>
      </c>
      <c r="I9" s="64">
        <v>6.2588960917389418</v>
      </c>
      <c r="J9" s="64">
        <v>0.72062550635879374</v>
      </c>
      <c r="K9" s="64">
        <v>4.6404130446293825</v>
      </c>
      <c r="L9" s="64">
        <v>1.001227636728466</v>
      </c>
      <c r="M9" s="64">
        <v>3.9292939015483457</v>
      </c>
      <c r="N9" s="84">
        <v>0.60355446649968025</v>
      </c>
      <c r="O9" s="64">
        <v>4.853859576984064</v>
      </c>
      <c r="P9" s="64">
        <v>0.98019816832060025</v>
      </c>
      <c r="Q9" s="64">
        <v>3.6291981033061997</v>
      </c>
      <c r="R9" s="64">
        <v>1.3662719594700532</v>
      </c>
      <c r="S9" s="64">
        <v>3.0631515271959429</v>
      </c>
    </row>
    <row r="10" spans="1:19" x14ac:dyDescent="0.75">
      <c r="A10">
        <v>90</v>
      </c>
      <c r="B10" s="84">
        <v>0.22192892373185011</v>
      </c>
      <c r="C10" s="64">
        <v>11.789148062276592</v>
      </c>
      <c r="D10" s="64">
        <v>0.3812568859303106</v>
      </c>
      <c r="E10" s="64">
        <v>8.3329642486266309</v>
      </c>
      <c r="F10" s="64">
        <v>0.53412432374500574</v>
      </c>
      <c r="G10" s="64">
        <v>6.997709882630069</v>
      </c>
      <c r="H10" s="84">
        <v>0.40055113834589157</v>
      </c>
      <c r="I10" s="64">
        <v>7.3645586556636786</v>
      </c>
      <c r="J10" s="64">
        <v>0.65537759149894059</v>
      </c>
      <c r="K10" s="64">
        <v>5.4655515331359776</v>
      </c>
      <c r="L10" s="64">
        <v>0.90665192097163172</v>
      </c>
      <c r="M10" s="64">
        <v>4.6479994687957848</v>
      </c>
      <c r="N10" s="84">
        <v>0.57855807135861947</v>
      </c>
      <c r="O10" s="64">
        <v>5.4830024005513094</v>
      </c>
      <c r="P10" s="64">
        <v>0.93307174809184301</v>
      </c>
      <c r="Q10" s="64">
        <v>4.1282998953482881</v>
      </c>
      <c r="R10" s="64">
        <v>1.2912251961682242</v>
      </c>
      <c r="S10" s="64">
        <v>3.5096625432423347</v>
      </c>
    </row>
    <row r="11" spans="1:19" x14ac:dyDescent="0.75">
      <c r="A11">
        <v>100</v>
      </c>
      <c r="B11" s="84">
        <v>0.18265807487384378</v>
      </c>
      <c r="C11" s="64">
        <v>14.78815799659475</v>
      </c>
      <c r="D11" s="64">
        <v>0.32228115349618713</v>
      </c>
      <c r="E11" s="64">
        <v>10.177448989547585</v>
      </c>
      <c r="F11" s="64">
        <v>0.454856888516942</v>
      </c>
      <c r="G11" s="64">
        <v>8.4835991865341089</v>
      </c>
      <c r="H11" s="84">
        <v>0.3571440767733931</v>
      </c>
      <c r="I11" s="64">
        <v>8.7162055285764701</v>
      </c>
      <c r="J11" s="64">
        <v>0.58663869534177293</v>
      </c>
      <c r="K11" s="64">
        <v>6.4434890333952319</v>
      </c>
      <c r="L11" s="64">
        <v>0.81027899301415884</v>
      </c>
      <c r="M11" s="64">
        <v>5.4883057093542398</v>
      </c>
      <c r="N11" s="84">
        <v>0.54244555460874555</v>
      </c>
      <c r="O11" s="64">
        <v>6.244775999382008</v>
      </c>
      <c r="P11" s="64">
        <v>0.87142140236531818</v>
      </c>
      <c r="Q11" s="64">
        <v>4.7202574118198415</v>
      </c>
      <c r="R11" s="64">
        <v>1.1995485086114221</v>
      </c>
      <c r="S11" s="64">
        <v>4.0341975764500821</v>
      </c>
    </row>
    <row r="12" spans="1:19" x14ac:dyDescent="0.75">
      <c r="A12">
        <v>110</v>
      </c>
      <c r="B12" s="84">
        <v>0.14648249840845173</v>
      </c>
      <c r="C12" s="64">
        <v>18.738235347120447</v>
      </c>
      <c r="D12" s="64">
        <v>0.26925578335819683</v>
      </c>
      <c r="E12" s="64">
        <v>12.378564198066035</v>
      </c>
      <c r="F12" s="64">
        <v>0.38477137244844689</v>
      </c>
      <c r="G12" s="64">
        <v>10.190925706443011</v>
      </c>
      <c r="H12" s="84">
        <v>0.31326247456590595</v>
      </c>
      <c r="I12" s="64">
        <v>10.352528907343219</v>
      </c>
      <c r="J12" s="64">
        <v>0.51923926932535602</v>
      </c>
      <c r="K12" s="64">
        <v>7.5841721392078352</v>
      </c>
      <c r="L12" s="64">
        <v>0.71795304787735781</v>
      </c>
      <c r="M12" s="64">
        <v>6.4529862923041668</v>
      </c>
      <c r="N12" s="84">
        <v>0.49992722886561786</v>
      </c>
      <c r="O12" s="64">
        <v>7.1514722140400542</v>
      </c>
      <c r="P12" s="64">
        <v>0.80246879997133513</v>
      </c>
      <c r="Q12" s="64">
        <v>5.4099714948274729</v>
      </c>
      <c r="R12" s="64">
        <v>1.1008809403596778</v>
      </c>
      <c r="S12" s="64">
        <v>4.6394217513870837</v>
      </c>
    </row>
    <row r="13" spans="1:19" x14ac:dyDescent="0.75">
      <c r="A13">
        <v>120</v>
      </c>
      <c r="B13" s="84">
        <v>0.11348228512428388</v>
      </c>
      <c r="C13" s="64">
        <v>24.209013015892911</v>
      </c>
      <c r="D13" s="64">
        <v>0.22194642487797372</v>
      </c>
      <c r="E13" s="64">
        <v>15.030654365503452</v>
      </c>
      <c r="F13" s="64">
        <v>0.32314227554418223</v>
      </c>
      <c r="G13" s="64">
        <v>12.145442362017187</v>
      </c>
      <c r="H13" s="84">
        <v>0.27091736464791738</v>
      </c>
      <c r="I13" s="64">
        <v>12.329351049382149</v>
      </c>
      <c r="J13" s="64">
        <v>0.45573186334741117</v>
      </c>
      <c r="K13" s="64">
        <v>8.8999701934557311</v>
      </c>
      <c r="L13" s="64">
        <v>0.63248362605728148</v>
      </c>
      <c r="M13" s="64">
        <v>7.5444873342068037</v>
      </c>
      <c r="N13" s="84">
        <v>0.45455699766591418</v>
      </c>
      <c r="O13" s="64">
        <v>8.2179560119987585</v>
      </c>
      <c r="P13" s="64">
        <v>0.73135410159407377</v>
      </c>
      <c r="Q13" s="64">
        <v>6.2021939715840038</v>
      </c>
      <c r="R13" s="64">
        <v>1.0017362895670812</v>
      </c>
      <c r="S13" s="64">
        <v>5.3272209900088052</v>
      </c>
    </row>
    <row r="14" spans="1:19" x14ac:dyDescent="0.75">
      <c r="A14">
        <v>130</v>
      </c>
      <c r="B14" s="84">
        <v>8.3290186040737527E-2</v>
      </c>
      <c r="C14" s="64">
        <v>32.51989656943902</v>
      </c>
      <c r="D14" s="64">
        <v>0.17958278835452154</v>
      </c>
      <c r="E14" s="64">
        <v>18.314672748632535</v>
      </c>
      <c r="F14" s="64">
        <v>0.26869203387988128</v>
      </c>
      <c r="G14" s="64">
        <v>14.400917320964203</v>
      </c>
      <c r="H14" s="84">
        <v>0.23108375572035383</v>
      </c>
      <c r="I14" s="64">
        <v>14.732626175399433</v>
      </c>
      <c r="J14" s="64">
        <v>0.39717641305340173</v>
      </c>
      <c r="K14" s="64">
        <v>10.408473071748519</v>
      </c>
      <c r="L14" s="64">
        <v>0.55480149294980718</v>
      </c>
      <c r="M14" s="64">
        <v>8.7662514855645988</v>
      </c>
      <c r="N14" s="84">
        <v>0.40879040897114516</v>
      </c>
      <c r="O14" s="64">
        <v>9.4630208340719637</v>
      </c>
      <c r="P14" s="64">
        <v>0.66142093410946734</v>
      </c>
      <c r="Q14" s="64">
        <v>7.1018818593303079</v>
      </c>
      <c r="R14" s="64">
        <v>0.90611335798621662</v>
      </c>
      <c r="S14" s="64">
        <v>6.0988776526656006</v>
      </c>
    </row>
    <row r="15" spans="1:19" x14ac:dyDescent="0.75">
      <c r="A15">
        <v>140</v>
      </c>
      <c r="B15" s="84"/>
      <c r="C15" s="64"/>
      <c r="D15" s="64"/>
      <c r="E15" s="64"/>
      <c r="F15" s="64"/>
      <c r="G15" s="64"/>
      <c r="H15" s="84">
        <v>0.1940776422819081</v>
      </c>
      <c r="I15" s="64">
        <v>17.70304227465687</v>
      </c>
      <c r="J15" s="64">
        <v>0.34374155492040259</v>
      </c>
      <c r="K15" s="64">
        <v>12.137025449151981</v>
      </c>
      <c r="L15" s="64">
        <v>0.48477847790687473</v>
      </c>
      <c r="M15" s="64">
        <v>10.124697192230782</v>
      </c>
      <c r="N15" s="84">
        <v>0.36417916672131717</v>
      </c>
      <c r="O15" s="64">
        <v>10.911672837698381</v>
      </c>
      <c r="P15" s="64">
        <v>0.59463359202522936</v>
      </c>
      <c r="Q15" s="64">
        <v>8.1148011112170764</v>
      </c>
      <c r="R15" s="64">
        <v>0.81618266919231375</v>
      </c>
      <c r="S15" s="64">
        <v>6.9553826114879476</v>
      </c>
    </row>
    <row r="16" spans="1:19" x14ac:dyDescent="0.75">
      <c r="A16">
        <v>150</v>
      </c>
      <c r="B16" s="84"/>
      <c r="C16" s="64"/>
      <c r="D16" s="64"/>
      <c r="E16" s="64"/>
      <c r="F16" s="64"/>
      <c r="G16" s="64"/>
      <c r="H16" s="84">
        <v>0.15982980729536553</v>
      </c>
      <c r="I16" s="64">
        <v>21.486090142826566</v>
      </c>
      <c r="J16" s="64">
        <v>0.29511059472295603</v>
      </c>
      <c r="K16" s="64">
        <v>14.130295809659806</v>
      </c>
      <c r="L16" s="64">
        <v>0.42175056936824318</v>
      </c>
      <c r="M16" s="64">
        <v>11.632189045505951</v>
      </c>
      <c r="N16" s="84">
        <v>0.32159825017547011</v>
      </c>
      <c r="O16" s="64">
        <v>12.598839401867496</v>
      </c>
      <c r="P16" s="64">
        <v>0.53198135992743867</v>
      </c>
      <c r="Q16" s="64">
        <v>9.2484443452512686</v>
      </c>
      <c r="R16" s="64">
        <v>0.73288301414773693</v>
      </c>
      <c r="S16" s="64">
        <v>7.8978980033378638</v>
      </c>
    </row>
    <row r="17" spans="1:19" x14ac:dyDescent="0.75">
      <c r="A17">
        <v>160</v>
      </c>
      <c r="B17" s="84"/>
      <c r="C17" s="64"/>
      <c r="D17" s="64"/>
      <c r="E17" s="64"/>
      <c r="F17" s="64"/>
      <c r="G17" s="64"/>
      <c r="H17" s="84">
        <v>0.12806620069558006</v>
      </c>
      <c r="I17" s="64">
        <v>26.545094594049537</v>
      </c>
      <c r="J17" s="64">
        <v>0.25073374395891568</v>
      </c>
      <c r="K17" s="64">
        <v>16.463679498505787</v>
      </c>
      <c r="L17" s="64">
        <v>0.36482737877634475</v>
      </c>
      <c r="M17" s="64">
        <v>13.311694436213143</v>
      </c>
      <c r="N17" s="84">
        <v>0.28145060374710479</v>
      </c>
      <c r="O17" s="64">
        <v>14.575468857370037</v>
      </c>
      <c r="P17" s="64">
        <v>0.4738086546693141</v>
      </c>
      <c r="Q17" s="64">
        <v>10.513386119571752</v>
      </c>
      <c r="R17" s="64">
        <v>0.65637632925653588</v>
      </c>
      <c r="S17" s="64">
        <v>8.9284026489814021</v>
      </c>
    </row>
    <row r="18" spans="1:19" x14ac:dyDescent="0.75">
      <c r="A18">
        <v>170</v>
      </c>
      <c r="B18" s="84"/>
      <c r="C18" s="64"/>
      <c r="D18" s="64"/>
      <c r="E18" s="64"/>
      <c r="F18" s="64"/>
      <c r="G18" s="64"/>
      <c r="H18" s="84">
        <v>9.8418697026838073E-2</v>
      </c>
      <c r="I18" s="64">
        <v>33.85535574700188</v>
      </c>
      <c r="J18" s="64">
        <v>0.20997477820430568</v>
      </c>
      <c r="K18" s="64">
        <v>19.268980944288639</v>
      </c>
      <c r="L18" s="64">
        <v>0.31306328344668788</v>
      </c>
      <c r="M18" s="64">
        <v>15.204593613133135</v>
      </c>
      <c r="N18" s="84">
        <v>0.24382918837801593</v>
      </c>
      <c r="O18" s="64">
        <v>16.918947894530582</v>
      </c>
      <c r="P18" s="64">
        <v>0.4200592503355649</v>
      </c>
      <c r="Q18" s="64">
        <v>11.925301798095436</v>
      </c>
      <c r="R18" s="64">
        <v>0.58636738914476194</v>
      </c>
      <c r="S18" s="64">
        <v>10.050581670186286</v>
      </c>
    </row>
    <row r="19" spans="1:19" x14ac:dyDescent="0.75">
      <c r="A19">
        <v>180</v>
      </c>
      <c r="B19" s="84"/>
      <c r="C19" s="64"/>
      <c r="D19" s="64"/>
      <c r="E19" s="64"/>
      <c r="F19" s="64"/>
      <c r="G19" s="64"/>
      <c r="H19" s="84"/>
      <c r="I19" s="64"/>
      <c r="J19" s="64"/>
      <c r="K19" s="64"/>
      <c r="L19" s="64"/>
      <c r="M19" s="64"/>
      <c r="N19" s="84">
        <v>0.20863531507897004</v>
      </c>
      <c r="O19" s="64">
        <v>19.751887042281314</v>
      </c>
      <c r="P19" s="64">
        <v>0.37044530629364636</v>
      </c>
      <c r="Q19" s="64">
        <v>13.50806695343416</v>
      </c>
      <c r="R19" s="64">
        <v>0.52231570570631303</v>
      </c>
      <c r="S19" s="64">
        <v>11.271073718850758</v>
      </c>
    </row>
    <row r="20" spans="1:19" x14ac:dyDescent="0.75">
      <c r="A20">
        <v>190</v>
      </c>
      <c r="B20" s="84"/>
      <c r="C20" s="64"/>
      <c r="D20" s="64"/>
      <c r="E20" s="64"/>
      <c r="F20" s="64"/>
      <c r="G20" s="64"/>
      <c r="H20" s="84"/>
      <c r="I20" s="64"/>
      <c r="J20" s="64"/>
      <c r="K20" s="64"/>
      <c r="L20" s="64"/>
      <c r="M20" s="64"/>
      <c r="N20" s="84">
        <v>0.17566022719820154</v>
      </c>
      <c r="O20" s="64">
        <v>23.278451271737577</v>
      </c>
      <c r="P20" s="64">
        <v>0.32455853436669579</v>
      </c>
      <c r="Q20" s="64">
        <v>15.29872983627463</v>
      </c>
      <c r="R20" s="64">
        <v>0.46356933430919872</v>
      </c>
      <c r="S20" s="64">
        <v>12.601283551587732</v>
      </c>
    </row>
    <row r="21" spans="1:19" x14ac:dyDescent="0.75">
      <c r="A21">
        <v>200</v>
      </c>
      <c r="B21" s="84"/>
      <c r="C21" s="64"/>
      <c r="D21" s="64"/>
      <c r="E21" s="64"/>
      <c r="F21" s="64"/>
      <c r="G21" s="64"/>
      <c r="H21" s="84"/>
      <c r="I21" s="64"/>
      <c r="J21" s="64"/>
      <c r="K21" s="64"/>
      <c r="L21" s="64"/>
      <c r="M21" s="64"/>
      <c r="N21" s="84">
        <v>0.14463880427046677</v>
      </c>
      <c r="O21" s="64">
        <v>27.861153456669289</v>
      </c>
      <c r="P21" s="64">
        <v>0.28194008295923378</v>
      </c>
      <c r="Q21" s="64">
        <v>17.355933508896886</v>
      </c>
      <c r="R21" s="64">
        <v>0.40944543174857168</v>
      </c>
      <c r="S21" s="64">
        <v>14.060146477914936</v>
      </c>
    </row>
  </sheetData>
  <mergeCells count="12">
    <mergeCell ref="N1:S1"/>
    <mergeCell ref="N2:O2"/>
    <mergeCell ref="P2:Q2"/>
    <mergeCell ref="R2:S2"/>
    <mergeCell ref="B1:G1"/>
    <mergeCell ref="B2:C2"/>
    <mergeCell ref="D2:E2"/>
    <mergeCell ref="F2:G2"/>
    <mergeCell ref="H1:M1"/>
    <mergeCell ref="H2:I2"/>
    <mergeCell ref="J2:K2"/>
    <mergeCell ref="L2:M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T27"/>
  <sheetViews>
    <sheetView workbookViewId="0">
      <selection activeCell="C25" sqref="C25"/>
    </sheetView>
  </sheetViews>
  <sheetFormatPr defaultRowHeight="14.75" x14ac:dyDescent="0.75"/>
  <cols>
    <col min="1" max="1" width="13.1328125" customWidth="1"/>
    <col min="2" max="2" width="13.7265625" customWidth="1"/>
    <col min="3" max="4" width="14.86328125" customWidth="1"/>
    <col min="5" max="5" width="17.1328125" customWidth="1"/>
    <col min="6" max="6" width="17.86328125" customWidth="1"/>
    <col min="7" max="7" width="13.7265625" customWidth="1"/>
    <col min="8" max="8" width="11.7265625" customWidth="1"/>
    <col min="9" max="9" width="12.26953125" customWidth="1"/>
    <col min="10" max="10" width="11.54296875" customWidth="1"/>
    <col min="11" max="12" width="14.1328125" customWidth="1"/>
    <col min="13" max="13" width="11.7265625" customWidth="1"/>
    <col min="14" max="14" width="14.1328125" customWidth="1"/>
    <col min="15" max="15" width="21.26953125" customWidth="1"/>
    <col min="16" max="16" width="18.54296875" customWidth="1"/>
    <col min="17" max="17" width="23.86328125" customWidth="1"/>
    <col min="18" max="18" width="17.26953125" customWidth="1"/>
  </cols>
  <sheetData>
    <row r="1" spans="1:20" x14ac:dyDescent="0.75">
      <c r="A1" s="1" t="s">
        <v>89</v>
      </c>
      <c r="B1" s="3"/>
      <c r="C1" s="3"/>
      <c r="D1" s="3"/>
      <c r="E1" s="3"/>
      <c r="F1" s="3"/>
      <c r="G1" s="4"/>
      <c r="H1" s="3"/>
      <c r="I1" s="5"/>
      <c r="J1" s="3"/>
      <c r="K1" s="3" t="s">
        <v>128</v>
      </c>
      <c r="L1" s="3"/>
      <c r="M1" s="3"/>
      <c r="N1" s="3"/>
      <c r="O1" s="3"/>
      <c r="P1" s="5"/>
      <c r="Q1" s="3"/>
      <c r="R1" s="5"/>
      <c r="S1" s="5"/>
      <c r="T1" s="5"/>
    </row>
    <row r="2" spans="1:20" x14ac:dyDescent="0.75">
      <c r="A2" s="3" t="s">
        <v>0</v>
      </c>
      <c r="B2" s="3" t="s">
        <v>1</v>
      </c>
      <c r="C2" s="3" t="s">
        <v>90</v>
      </c>
      <c r="D2" s="3" t="s">
        <v>90</v>
      </c>
      <c r="E2" s="3" t="s">
        <v>91</v>
      </c>
      <c r="F2" s="3" t="s">
        <v>91</v>
      </c>
      <c r="G2" s="3" t="s">
        <v>92</v>
      </c>
      <c r="H2" s="3" t="s">
        <v>4</v>
      </c>
      <c r="I2" s="4" t="s">
        <v>5</v>
      </c>
      <c r="J2" s="3" t="s">
        <v>5</v>
      </c>
      <c r="K2" s="5" t="s">
        <v>129</v>
      </c>
      <c r="L2" s="3" t="s">
        <v>20</v>
      </c>
      <c r="M2" s="3" t="s">
        <v>122</v>
      </c>
      <c r="N2" s="3" t="s">
        <v>94</v>
      </c>
      <c r="O2" s="3" t="s">
        <v>95</v>
      </c>
      <c r="P2" s="5" t="s">
        <v>115</v>
      </c>
      <c r="Q2" s="5" t="s">
        <v>116</v>
      </c>
      <c r="R2" s="5" t="s">
        <v>113</v>
      </c>
      <c r="S2" s="5"/>
    </row>
    <row r="3" spans="1:20" x14ac:dyDescent="0.75">
      <c r="A3" s="3" t="s">
        <v>24</v>
      </c>
      <c r="B3" s="3" t="s">
        <v>11</v>
      </c>
      <c r="C3" s="3" t="s">
        <v>76</v>
      </c>
      <c r="D3" s="3" t="s">
        <v>174</v>
      </c>
      <c r="E3" s="3" t="s">
        <v>76</v>
      </c>
      <c r="F3" s="3" t="s">
        <v>93</v>
      </c>
      <c r="G3" s="3" t="s">
        <v>76</v>
      </c>
      <c r="H3" s="3" t="s">
        <v>73</v>
      </c>
      <c r="I3" s="4" t="s">
        <v>74</v>
      </c>
      <c r="J3" s="3" t="s">
        <v>75</v>
      </c>
      <c r="K3" s="5" t="s">
        <v>76</v>
      </c>
      <c r="L3" s="3" t="s">
        <v>76</v>
      </c>
      <c r="M3" s="3" t="s">
        <v>76</v>
      </c>
      <c r="N3" s="3" t="s">
        <v>120</v>
      </c>
      <c r="O3" s="3" t="s">
        <v>121</v>
      </c>
      <c r="P3" s="3" t="s">
        <v>117</v>
      </c>
      <c r="Q3" s="3" t="s">
        <v>117</v>
      </c>
      <c r="R3" s="3" t="s">
        <v>117</v>
      </c>
      <c r="S3" s="5"/>
    </row>
    <row r="4" spans="1:20" x14ac:dyDescent="0.75">
      <c r="A4" s="11">
        <f>Finishing!A4</f>
        <v>48</v>
      </c>
      <c r="B4" s="15">
        <v>2.4</v>
      </c>
      <c r="C4" s="48">
        <f t="shared" ref="C4:C18" si="0">G4-E4-F4</f>
        <v>20.693848396157637</v>
      </c>
      <c r="D4" s="48">
        <f>C4*Inputs!$B$26*(1-Finishing!Q4/100)</f>
        <v>31.811168119880836</v>
      </c>
      <c r="E4" s="49">
        <f>K4+M4+Finishing!P4+Finishing!R4+Finishing!S4+Finishing!K4+Finishing!L4+Finishing!M4+(N4+O4+P4+Q4)</f>
        <v>105.47077123681372</v>
      </c>
      <c r="F4" s="49">
        <f>(K4+Finishing!P4+Finishing!R4+Finishing!S4+Finishing!M4+(N4+O4+P4+Q4))*(Finishing!Q4/100)</f>
        <v>0.29740431371044118</v>
      </c>
      <c r="G4" s="49">
        <f>L4+Finishing!N4+R4</f>
        <v>126.4620239466818</v>
      </c>
      <c r="H4" s="5">
        <f>Finishing!E4*Finishing!D4</f>
        <v>2.3899999999999997</v>
      </c>
      <c r="I4" s="5">
        <f>H4*Finishing!F4</f>
        <v>0.27484999999999998</v>
      </c>
      <c r="J4" s="5">
        <f>I4*(Finishing!C5-Finishing!C4)</f>
        <v>3.437424181209618</v>
      </c>
      <c r="K4" s="5">
        <f>J4+Inputs!B12</f>
        <v>3.437424181209618</v>
      </c>
      <c r="L4" s="5">
        <f>A4*(1-Finishing!O4/100)*B4</f>
        <v>109.43999999999998</v>
      </c>
      <c r="M4" s="5">
        <f t="shared" ref="M4:M18" si="1">0.007*A4</f>
        <v>0.33600000000000002</v>
      </c>
      <c r="N4" s="5">
        <f>Inputs!$F$26/(1-Inputs!$B$40/100)</f>
        <v>61.275973346462017</v>
      </c>
      <c r="O4" s="5">
        <f>Inputs!$B$37/(1-Inputs!$B$40/100)</f>
        <v>25.912275973552475</v>
      </c>
      <c r="P4" s="5">
        <f>Inputs!$B$45/(1-Inputs!$B$40/100)</f>
        <v>4.6442609322827177</v>
      </c>
      <c r="Q4" s="5">
        <f>Inputs!$B$48/(1-Inputs!$B$40/100)</f>
        <v>1.7647058823529411</v>
      </c>
      <c r="R4" s="5">
        <f>Inputs!$B$51/(1-Inputs!$B$40/100)</f>
        <v>15.022023946681815</v>
      </c>
      <c r="S4" s="5"/>
    </row>
    <row r="5" spans="1:20" x14ac:dyDescent="0.75">
      <c r="A5" s="11">
        <f>Finishing!A5</f>
        <v>58</v>
      </c>
      <c r="B5" s="15">
        <v>2.2999999999999998</v>
      </c>
      <c r="C5" s="48">
        <f t="shared" si="0"/>
        <v>32.917389269106529</v>
      </c>
      <c r="D5" s="48">
        <f>C5*Inputs!$B$26*(1-Finishing!Q5/100)</f>
        <v>50.449278920267211</v>
      </c>
      <c r="E5" s="49">
        <f>K5+M5+Finishing!P5+Finishing!R5+Finishing!S5+Finishing!K5+Finishing!L5+Finishing!M5+(N5+O5+P5+Q5)</f>
        <v>110.2123962997766</v>
      </c>
      <c r="F5" s="49">
        <f>(K5+Finishing!P5+Finishing!R5+Finishing!S5+Finishing!M5+(N5+O5+P5+Q5))*(Finishing!Q5/100)</f>
        <v>0.62223837779865965</v>
      </c>
      <c r="G5" s="49">
        <f>L5+Finishing!N5+R5</f>
        <v>143.75202394668179</v>
      </c>
      <c r="H5" s="5">
        <f>Finishing!E5*Finishing!D5</f>
        <v>2.7479999999999998</v>
      </c>
      <c r="I5" s="5">
        <f>H5*Finishing!F5</f>
        <v>0.31601999999999997</v>
      </c>
      <c r="J5" s="5">
        <f>I5*(Finishing!C6-Finishing!C5)</f>
        <v>3.9233288268481945</v>
      </c>
      <c r="K5" s="5">
        <f t="shared" ref="K5:K18" si="2">J5+K4</f>
        <v>7.360753008057813</v>
      </c>
      <c r="L5" s="5">
        <f>A5*(1-Finishing!O5/100)*B5</f>
        <v>126.72999999999998</v>
      </c>
      <c r="M5" s="5">
        <f t="shared" si="1"/>
        <v>0.40600000000000003</v>
      </c>
      <c r="N5" s="5">
        <f>Inputs!$F$26/(1-Inputs!$B$40/100)</f>
        <v>61.275973346462017</v>
      </c>
      <c r="O5" s="5">
        <f>Inputs!$B$37/(1-Inputs!$B$40/100)</f>
        <v>25.912275973552475</v>
      </c>
      <c r="P5" s="5">
        <f>Inputs!$B$45/(1-Inputs!$B$40/100)</f>
        <v>4.6442609322827177</v>
      </c>
      <c r="Q5" s="5">
        <f>Inputs!$B$48/(1-Inputs!$B$40/100)</f>
        <v>1.7647058823529411</v>
      </c>
      <c r="R5" s="5">
        <f>Inputs!$B$51/(1-Inputs!$B$40/100)</f>
        <v>15.022023946681815</v>
      </c>
      <c r="S5" s="5"/>
    </row>
    <row r="6" spans="1:20" x14ac:dyDescent="0.75">
      <c r="A6" s="11">
        <f>Finishing!A6</f>
        <v>68</v>
      </c>
      <c r="B6" s="15">
        <v>2.25</v>
      </c>
      <c r="C6" s="48">
        <f t="shared" si="0"/>
        <v>44.100341642598401</v>
      </c>
      <c r="D6" s="48">
        <f>C6*Inputs!$B$26*(1-Finishing!Q6/100)</f>
        <v>66.636353756079799</v>
      </c>
      <c r="E6" s="49">
        <f>K6+M6+Finishing!P6+Finishing!R6+Finishing!S6+Finishing!K6+Finishing!L6+Finishing!M6+(N6+O6+P6+Q6)</f>
        <v>116.09333559223865</v>
      </c>
      <c r="F6" s="49">
        <f>(K6+Finishing!P6+Finishing!R6+Finishing!S6+Finishing!M6+(N6+O6+P6+Q6))*(Finishing!Q6/100)</f>
        <v>2.1783467118447728</v>
      </c>
      <c r="G6" s="49">
        <f>L6+Finishing!N6+R6</f>
        <v>162.37202394668182</v>
      </c>
      <c r="H6" s="5">
        <f>Finishing!E6*Finishing!D6</f>
        <v>3.0659999999999994</v>
      </c>
      <c r="I6" s="5">
        <f>H6*Finishing!F6</f>
        <v>0.35258999999999996</v>
      </c>
      <c r="J6" s="5">
        <f>I6*(Finishing!C7-Finishing!C6)</f>
        <v>4.5526962213940081</v>
      </c>
      <c r="K6" s="5">
        <f t="shared" si="2"/>
        <v>11.913449229451821</v>
      </c>
      <c r="L6" s="5">
        <f>A6*(1-Finishing!O6/100)*B6</f>
        <v>145.35</v>
      </c>
      <c r="M6" s="5">
        <f t="shared" si="1"/>
        <v>0.47600000000000003</v>
      </c>
      <c r="N6" s="5">
        <f>Inputs!$F$26/(1-Inputs!$B$40/100)</f>
        <v>61.275973346462017</v>
      </c>
      <c r="O6" s="5">
        <f>Inputs!$B$37/(1-Inputs!$B$40/100)</f>
        <v>25.912275973552475</v>
      </c>
      <c r="P6" s="5">
        <f>Inputs!$B$45/(1-Inputs!$B$40/100)</f>
        <v>4.6442609322827177</v>
      </c>
      <c r="Q6" s="5">
        <f>Inputs!$B$48/(1-Inputs!$B$40/100)</f>
        <v>1.7647058823529411</v>
      </c>
      <c r="R6" s="5">
        <f>Inputs!$B$51/(1-Inputs!$B$40/100)</f>
        <v>15.022023946681815</v>
      </c>
      <c r="S6" s="5"/>
    </row>
    <row r="7" spans="1:20" x14ac:dyDescent="0.75">
      <c r="A7" s="11">
        <f>Finishing!A7</f>
        <v>78</v>
      </c>
      <c r="B7" s="15">
        <v>2.15</v>
      </c>
      <c r="C7" s="48">
        <f t="shared" si="0"/>
        <v>51.531187048074656</v>
      </c>
      <c r="D7" s="48">
        <f>C7*Inputs!$B$26*(1-Finishing!Q7/100)</f>
        <v>77.705578324075816</v>
      </c>
      <c r="E7" s="49">
        <f>K7+M7+Finishing!P7+Finishing!R7+Finishing!S7+Finishing!K7+Finishing!L7+Finishing!M7+(N7+O7+P7+Q7)</f>
        <v>122.27734725891109</v>
      </c>
      <c r="F7" s="49">
        <f>(K7+Finishing!P7+Finishing!R7+Finishing!S7+Finishing!M7+(N7+O7+P7+Q7))*(Finishing!Q7/100)</f>
        <v>2.5284896396960441</v>
      </c>
      <c r="G7" s="49">
        <f>L7+Finishing!N7+R7</f>
        <v>176.3370239466818</v>
      </c>
      <c r="H7" s="5">
        <f>Finishing!E7*Finishing!D7</f>
        <v>3.3440000000000007</v>
      </c>
      <c r="I7" s="5">
        <f>H7*Finishing!F7</f>
        <v>0.38456000000000012</v>
      </c>
      <c r="J7" s="5">
        <f>I7*(Finishing!C8-Finishing!C7)</f>
        <v>5.33647500132379</v>
      </c>
      <c r="K7" s="5">
        <f t="shared" si="2"/>
        <v>17.249924230775612</v>
      </c>
      <c r="L7" s="5">
        <f>A7*(1-Finishing!O7/100)*B7</f>
        <v>159.31499999999997</v>
      </c>
      <c r="M7" s="5">
        <f t="shared" si="1"/>
        <v>0.54600000000000004</v>
      </c>
      <c r="N7" s="5">
        <f>Inputs!$F$26/(1-Inputs!$B$40/100)</f>
        <v>61.275973346462017</v>
      </c>
      <c r="O7" s="5">
        <f>Inputs!$B$37/(1-Inputs!$B$40/100)</f>
        <v>25.912275973552475</v>
      </c>
      <c r="P7" s="5">
        <f>Inputs!$B$45/(1-Inputs!$B$40/100)</f>
        <v>4.6442609322827177</v>
      </c>
      <c r="Q7" s="5">
        <f>Inputs!$B$48/(1-Inputs!$B$40/100)</f>
        <v>1.7647058823529411</v>
      </c>
      <c r="R7" s="5">
        <f>Inputs!$B$51/(1-Inputs!$B$40/100)</f>
        <v>15.022023946681815</v>
      </c>
      <c r="S7" s="5"/>
    </row>
    <row r="8" spans="1:20" x14ac:dyDescent="0.75">
      <c r="A8" s="11">
        <f>Finishing!A8</f>
        <v>88</v>
      </c>
      <c r="B8" s="15">
        <v>2.0499999999999998</v>
      </c>
      <c r="C8" s="48">
        <f t="shared" si="0"/>
        <v>57.402960205747</v>
      </c>
      <c r="D8" s="48">
        <f>C8*Inputs!$B$26*(1-Finishing!Q8/100)</f>
        <v>86.427058474854519</v>
      </c>
      <c r="E8" s="49">
        <f>K8+M8+Finishing!P8+Finishing!R8+Finishing!S8+Finishing!K8+Finishing!L8+Finishing!M8+(N8+O8+P8+Q8)</f>
        <v>129.93789911180733</v>
      </c>
      <c r="F8" s="49">
        <f>(K8+Finishing!P8+Finishing!R8+Finishing!S8+Finishing!M8+(N8+O8+P8+Q8))*(Finishing!Q8/100)</f>
        <v>2.8651646291274715</v>
      </c>
      <c r="G8" s="49">
        <f>L8+Finishing!N8+R8</f>
        <v>190.2060239466818</v>
      </c>
      <c r="H8" s="5">
        <f>Finishing!E8*Finishing!D8</f>
        <v>3.5819999999999994</v>
      </c>
      <c r="I8" s="5">
        <f>H8*Finishing!F8</f>
        <v>0.41192999999999996</v>
      </c>
      <c r="J8" s="5">
        <f>I8*(Finishing!C9-Finishing!C8)</f>
        <v>6.2853842631063808</v>
      </c>
      <c r="K8" s="5">
        <f t="shared" si="2"/>
        <v>23.535308493881992</v>
      </c>
      <c r="L8" s="5">
        <f>A8*(1-Finishing!O8/100)*B8</f>
        <v>173.18399999999997</v>
      </c>
      <c r="M8" s="5">
        <f t="shared" si="1"/>
        <v>0.61599999999999999</v>
      </c>
      <c r="N8" s="5">
        <f>Inputs!$F$26/(1-Inputs!$B$40/100)</f>
        <v>61.275973346462017</v>
      </c>
      <c r="O8" s="5">
        <f>Inputs!$B$37/(1-Inputs!$B$40/100)</f>
        <v>25.912275973552475</v>
      </c>
      <c r="P8" s="5">
        <f>Inputs!$B$45/(1-Inputs!$B$40/100)</f>
        <v>4.6442609322827177</v>
      </c>
      <c r="Q8" s="5">
        <f>Inputs!$B$48/(1-Inputs!$B$40/100)</f>
        <v>1.7647058823529411</v>
      </c>
      <c r="R8" s="5">
        <f>Inputs!$B$51/(1-Inputs!$B$40/100)</f>
        <v>15.022023946681815</v>
      </c>
      <c r="S8" s="5"/>
    </row>
    <row r="9" spans="1:20" x14ac:dyDescent="0.75">
      <c r="A9" s="11">
        <f>Finishing!A9</f>
        <v>98</v>
      </c>
      <c r="B9" s="15">
        <v>1.95</v>
      </c>
      <c r="C9" s="48">
        <f t="shared" si="0"/>
        <v>59.297594992601852</v>
      </c>
      <c r="D9" s="48">
        <f>C9*Inputs!$B$26*(1-Finishing!Q9/100)</f>
        <v>89.142516615949035</v>
      </c>
      <c r="E9" s="49">
        <f>K9+M9+Finishing!P9+Finishing!R9+Finishing!S9+Finishing!K9+Finishing!L9+Finishing!M9+(N9+O9+P9+Q9)</f>
        <v>137.93666239422436</v>
      </c>
      <c r="F9" s="49">
        <f>(K9+Finishing!P9+Finishing!R9+Finishing!S9+Finishing!M9+(N9+O9+P9+Q9))*(Finishing!Q9/100)</f>
        <v>3.2437665598556089</v>
      </c>
      <c r="G9" s="49">
        <f>L9+Finishing!N9+R9</f>
        <v>200.47802394668182</v>
      </c>
      <c r="H9" s="5">
        <f>Finishing!E9*Finishing!D9</f>
        <v>3.7800000000000002</v>
      </c>
      <c r="I9" s="5">
        <f>H9*Finishing!F9</f>
        <v>0.4158</v>
      </c>
      <c r="J9" s="5">
        <f>I9*(Finishing!C10-Finishing!C9)</f>
        <v>7.0878379367347586</v>
      </c>
      <c r="K9" s="5">
        <f t="shared" si="2"/>
        <v>30.62314643061675</v>
      </c>
      <c r="L9" s="5">
        <f>A9*(1-Finishing!O9/100)*B9</f>
        <v>183.45599999999999</v>
      </c>
      <c r="M9" s="5">
        <f t="shared" si="1"/>
        <v>0.68600000000000005</v>
      </c>
      <c r="N9" s="5">
        <f>Inputs!$F$26/(1-Inputs!$B$40/100)</f>
        <v>61.275973346462017</v>
      </c>
      <c r="O9" s="5">
        <f>Inputs!$B$37/(1-Inputs!$B$40/100)</f>
        <v>25.912275973552475</v>
      </c>
      <c r="P9" s="5">
        <f>Inputs!$B$45/(1-Inputs!$B$40/100)</f>
        <v>4.6442609322827177</v>
      </c>
      <c r="Q9" s="5">
        <f>Inputs!$B$48/(1-Inputs!$B$40/100)</f>
        <v>1.7647058823529411</v>
      </c>
      <c r="R9" s="5">
        <f>Inputs!$B$51/(1-Inputs!$B$40/100)</f>
        <v>15.022023946681815</v>
      </c>
      <c r="S9" s="5"/>
    </row>
    <row r="10" spans="1:20" x14ac:dyDescent="0.75">
      <c r="A10" s="11">
        <f>Finishing!A10</f>
        <v>108</v>
      </c>
      <c r="B10" s="15">
        <v>1.85</v>
      </c>
      <c r="C10" s="48">
        <f t="shared" si="0"/>
        <v>56.542789908120653</v>
      </c>
      <c r="D10" s="48">
        <f>C10*Inputs!$B$26*(1-Finishing!Q10/100)</f>
        <v>84.870426522152883</v>
      </c>
      <c r="E10" s="49">
        <f>K10+M10+Finishing!P10+Finishing!R10+Finishing!S10+Finishing!K10+Finishing!L10+Finishing!M10+(N10+O10+P10+Q10)</f>
        <v>148.58443062694707</v>
      </c>
      <c r="F10" s="49">
        <f>(K10+Finishing!P10+Finishing!R10+Finishing!S10+Finishing!M10+(N10+O10+P10+Q10))*(Finishing!Q10/100)</f>
        <v>3.7028034116140973</v>
      </c>
      <c r="G10" s="49">
        <f>L10+Finishing!N10+R10</f>
        <v>208.83002394668182</v>
      </c>
      <c r="H10" s="5">
        <f>Finishing!E10*Finishing!D10</f>
        <v>3.9379999999999988</v>
      </c>
      <c r="I10" s="5">
        <f>H10*Finishing!F10</f>
        <v>0.4331799999999999</v>
      </c>
      <c r="J10" s="5">
        <f>I10*(Finishing!C11-Finishing!C10)</f>
        <v>8.3425893531286146</v>
      </c>
      <c r="K10" s="5">
        <f t="shared" si="2"/>
        <v>38.965735783745366</v>
      </c>
      <c r="L10" s="5">
        <f>A10*(1-Finishing!O10/100)*B10</f>
        <v>191.80799999999999</v>
      </c>
      <c r="M10" s="5">
        <f t="shared" si="1"/>
        <v>0.75600000000000001</v>
      </c>
      <c r="N10" s="5">
        <f>Inputs!$F$26/(1-Inputs!$B$40/100)</f>
        <v>61.275973346462017</v>
      </c>
      <c r="O10" s="5">
        <f>Inputs!$B$37/(1-Inputs!$B$40/100)</f>
        <v>25.912275973552475</v>
      </c>
      <c r="P10" s="5">
        <f>Inputs!$B$45/(1-Inputs!$B$40/100)</f>
        <v>4.6442609322827177</v>
      </c>
      <c r="Q10" s="5">
        <f>Inputs!$B$48/(1-Inputs!$B$40/100)</f>
        <v>1.7647058823529411</v>
      </c>
      <c r="R10" s="5">
        <f>Inputs!$B$51/(1-Inputs!$B$40/100)</f>
        <v>15.022023946681815</v>
      </c>
      <c r="S10" s="5"/>
    </row>
    <row r="11" spans="1:20" x14ac:dyDescent="0.75">
      <c r="A11" s="11">
        <f>Finishing!A11</f>
        <v>118</v>
      </c>
      <c r="B11" s="15">
        <v>1.68</v>
      </c>
      <c r="C11" s="48">
        <f t="shared" si="0"/>
        <v>43.739168494103311</v>
      </c>
      <c r="D11" s="48">
        <f>C11*Inputs!$B$26*(1-Finishing!Q11/100)</f>
        <v>65.55109986323221</v>
      </c>
      <c r="E11" s="49">
        <f>K11+M11+Finishing!P11+Finishing!R11+Finishing!S11+Finishing!K11+Finishing!L11+Finishing!M11+(N11+O11+P11+Q11)</f>
        <v>159.38325238577676</v>
      </c>
      <c r="F11" s="49">
        <f>(K11+Finishing!P11+Finishing!R11+Finishing!S11+Finishing!M11+(N11+O11+P11+Q11))*(Finishing!Q11/100)</f>
        <v>4.2100030668017494</v>
      </c>
      <c r="G11" s="49">
        <f>L11+Finishing!N11+R11</f>
        <v>207.33242394668181</v>
      </c>
      <c r="H11" s="5">
        <f>Finishing!E11*Finishing!D11</f>
        <v>4.056</v>
      </c>
      <c r="I11" s="5">
        <f>H11*Finishing!F11</f>
        <v>0.44616</v>
      </c>
      <c r="J11" s="5">
        <f>I11*(Finishing!C12-Finishing!C11)</f>
        <v>9.7899672128013098</v>
      </c>
      <c r="K11" s="5">
        <f t="shared" si="2"/>
        <v>48.755702996546674</v>
      </c>
      <c r="L11" s="5">
        <f>A11*(1-Finishing!O11/100)*B11</f>
        <v>190.31039999999999</v>
      </c>
      <c r="M11" s="5">
        <f t="shared" si="1"/>
        <v>0.82600000000000007</v>
      </c>
      <c r="N11" s="5">
        <f>Inputs!$F$26/(1-Inputs!$B$40/100)</f>
        <v>61.275973346462017</v>
      </c>
      <c r="O11" s="5">
        <f>Inputs!$B$37/(1-Inputs!$B$40/100)</f>
        <v>25.912275973552475</v>
      </c>
      <c r="P11" s="5">
        <f>Inputs!$B$45/(1-Inputs!$B$40/100)</f>
        <v>4.6442609322827177</v>
      </c>
      <c r="Q11" s="5">
        <f>Inputs!$B$48/(1-Inputs!$B$40/100)</f>
        <v>1.7647058823529411</v>
      </c>
      <c r="R11" s="5">
        <f>Inputs!$B$51/(1-Inputs!$B$40/100)</f>
        <v>15.022023946681815</v>
      </c>
      <c r="S11" s="5"/>
    </row>
    <row r="12" spans="1:20" x14ac:dyDescent="0.75">
      <c r="A12" s="11">
        <f>Finishing!A12</f>
        <v>128</v>
      </c>
      <c r="B12" s="15">
        <v>1.65</v>
      </c>
      <c r="C12" s="48">
        <f t="shared" si="0"/>
        <v>42.567947850136846</v>
      </c>
      <c r="D12" s="48">
        <f>C12*Inputs!$B$26*(1-Finishing!Q12/100)</f>
        <v>63.697362362482743</v>
      </c>
      <c r="E12" s="49">
        <f>K12+M12+Finishing!P12+Finishing!R12+Finishing!S12+Finishing!K12+Finishing!L12+Finishing!M12+(N12+O12+P12+Q12)</f>
        <v>172.40612734001454</v>
      </c>
      <c r="F12" s="49">
        <f>(K12+Finishing!P12+Finishing!R12+Finishing!S12+Finishing!M12+(N12+O12+P12+Q12))*(Finishing!Q12/100)</f>
        <v>4.7999487565304282</v>
      </c>
      <c r="G12" s="49">
        <f>L12+Finishing!N12+R12</f>
        <v>219.77402394668181</v>
      </c>
      <c r="H12" s="5">
        <f>Finishing!E12*Finishing!D12</f>
        <v>4.1339999999999986</v>
      </c>
      <c r="I12" s="5">
        <f>H12*Finishing!F12</f>
        <v>0.45473999999999987</v>
      </c>
      <c r="J12" s="5">
        <f>I12*(Finishing!C13-Finishing!C12)</f>
        <v>11.449320378923376</v>
      </c>
      <c r="K12" s="5">
        <f t="shared" si="2"/>
        <v>60.205023375470049</v>
      </c>
      <c r="L12" s="5">
        <f>A12*(1-Finishing!O12/100)*B12</f>
        <v>202.75199999999998</v>
      </c>
      <c r="M12" s="5">
        <f t="shared" si="1"/>
        <v>0.89600000000000002</v>
      </c>
      <c r="N12" s="5">
        <f>Inputs!$F$26/(1-Inputs!$B$40/100)</f>
        <v>61.275973346462017</v>
      </c>
      <c r="O12" s="5">
        <f>Inputs!$B$37/(1-Inputs!$B$40/100)</f>
        <v>25.912275973552475</v>
      </c>
      <c r="P12" s="5">
        <f>Inputs!$B$45/(1-Inputs!$B$40/100)</f>
        <v>4.6442609322827177</v>
      </c>
      <c r="Q12" s="5">
        <f>Inputs!$B$48/(1-Inputs!$B$40/100)</f>
        <v>1.7647058823529411</v>
      </c>
      <c r="R12" s="5">
        <f>Inputs!$B$51/(1-Inputs!$B$40/100)</f>
        <v>15.022023946681815</v>
      </c>
      <c r="S12" s="5"/>
    </row>
    <row r="13" spans="1:20" x14ac:dyDescent="0.75">
      <c r="A13" s="11">
        <f>Finishing!A13</f>
        <v>138</v>
      </c>
      <c r="B13" s="15">
        <v>1.6</v>
      </c>
      <c r="C13" s="48">
        <f t="shared" si="0"/>
        <v>39.551012814497852</v>
      </c>
      <c r="D13" s="48">
        <f>C13*Inputs!$B$26*(1-Finishing!Q13/100)</f>
        <v>59.091441140423854</v>
      </c>
      <c r="E13" s="49">
        <f>K13+M13+Finishing!P13+Finishing!R13+Finishing!S13+Finishing!K13+Finishing!L13+Finishing!M13+(N13+O13+P13+Q13)</f>
        <v>186.90868781007174</v>
      </c>
      <c r="F13" s="49">
        <f>(K13+Finishing!P13+Finishing!R13+Finishing!S13+Finishing!M13+(N13+O13+P13+Q13))*(Finishing!Q13/100)</f>
        <v>5.4883233221122234</v>
      </c>
      <c r="G13" s="49">
        <f>L13+Finishing!N13+R13</f>
        <v>231.94802394668181</v>
      </c>
      <c r="H13" s="5">
        <f>Finishing!E13*Finishing!D13</f>
        <v>4.1719999999999997</v>
      </c>
      <c r="I13" s="5">
        <f>H13*Finishing!F13</f>
        <v>0.45891999999999999</v>
      </c>
      <c r="J13" s="5">
        <f>I13*(Finishing!C14-Finishing!C13)</f>
        <v>13.350727994067185</v>
      </c>
      <c r="K13" s="5">
        <f t="shared" si="2"/>
        <v>73.555751369537234</v>
      </c>
      <c r="L13" s="5">
        <f>A13*(1-Finishing!O13/100)*B13</f>
        <v>214.17599999999999</v>
      </c>
      <c r="M13" s="5">
        <f t="shared" si="1"/>
        <v>0.96599999999999997</v>
      </c>
      <c r="N13" s="5">
        <f>Inputs!$F$26/(1-Inputs!$B$40/100)</f>
        <v>61.275973346462017</v>
      </c>
      <c r="O13" s="5">
        <f>Inputs!$B$37/(1-Inputs!$B$40/100)</f>
        <v>25.912275973552475</v>
      </c>
      <c r="P13" s="5">
        <f>Inputs!$B$45/(1-Inputs!$B$40/100)</f>
        <v>4.6442609322827177</v>
      </c>
      <c r="Q13" s="5">
        <f>Inputs!$B$48/(1-Inputs!$B$40/100)</f>
        <v>1.7647058823529411</v>
      </c>
      <c r="R13" s="5">
        <f>Inputs!$B$51/(1-Inputs!$B$40/100)</f>
        <v>15.022023946681815</v>
      </c>
      <c r="S13" s="5"/>
    </row>
    <row r="14" spans="1:20" x14ac:dyDescent="0.75">
      <c r="A14" s="11">
        <f>Finishing!A14</f>
        <v>148</v>
      </c>
      <c r="B14" s="15">
        <v>1.55</v>
      </c>
      <c r="C14" s="48">
        <f t="shared" si="0"/>
        <v>26.182477646771023</v>
      </c>
      <c r="D14" s="48">
        <f>C14*Inputs!$B$26*(1-Finishing!Q14/100)</f>
        <v>39.057542191863568</v>
      </c>
      <c r="E14" s="49">
        <f>K14+M14+Finishing!P14+Finishing!R14+Finishing!S14+Finishing!K14+Finishing!L14+Finishing!M14+(N14+O14+P14+Q14)</f>
        <v>207.69972522993783</v>
      </c>
      <c r="F14" s="49">
        <f>(K14+Finishing!P14+Finishing!R14+Finishing!S14+Finishing!M14+(N14+O14+P14+Q14))*(Finishing!Q14/100)</f>
        <v>6.4078210699729778</v>
      </c>
      <c r="G14" s="49">
        <f>L14+Finishing!N14+R14</f>
        <v>240.29002394668183</v>
      </c>
      <c r="H14" s="5">
        <f>Finishing!E14*Finishing!D14</f>
        <v>4.169999999999999</v>
      </c>
      <c r="I14" s="5">
        <f>H14*Finishing!F14</f>
        <v>0.45869999999999989</v>
      </c>
      <c r="J14" s="5">
        <f>I14*(Finishing!C15-Finishing!C14)</f>
        <v>15.543325390625789</v>
      </c>
      <c r="K14" s="5">
        <f t="shared" si="2"/>
        <v>89.09907676016303</v>
      </c>
      <c r="L14" s="5">
        <f>A14*(1-Finishing!O14/100)*B14</f>
        <v>222.518</v>
      </c>
      <c r="M14" s="5">
        <f t="shared" si="1"/>
        <v>1.036</v>
      </c>
      <c r="N14" s="5">
        <f>Inputs!$F$26/(1-Inputs!$B$40/100)</f>
        <v>61.275973346462017</v>
      </c>
      <c r="O14" s="5">
        <f>Inputs!$B$37/(1-Inputs!$B$40/100)</f>
        <v>25.912275973552475</v>
      </c>
      <c r="P14" s="5">
        <f>Inputs!$B$45/(1-Inputs!$B$40/100)</f>
        <v>4.6442609322827177</v>
      </c>
      <c r="Q14" s="5">
        <f>Inputs!$B$48/(1-Inputs!$B$40/100)</f>
        <v>1.7647058823529411</v>
      </c>
      <c r="R14" s="5">
        <f>Inputs!$B$51/(1-Inputs!$B$40/100)</f>
        <v>15.022023946681815</v>
      </c>
      <c r="S14" s="5"/>
    </row>
    <row r="15" spans="1:20" x14ac:dyDescent="0.75">
      <c r="A15" s="11">
        <f>Finishing!A15</f>
        <v>158</v>
      </c>
      <c r="B15" s="15">
        <v>1.4</v>
      </c>
      <c r="C15" s="48">
        <f t="shared" si="0"/>
        <v>-2.2014362953805469</v>
      </c>
      <c r="D15" s="48">
        <f>C15*Inputs!$B$26*(1-Finishing!Q15/100)</f>
        <v>-3.2788869582957441</v>
      </c>
      <c r="E15" s="49">
        <f>K15+M15+Finishing!P15+Finishing!R15+Finishing!S15+Finishing!K15+Finishing!L15+Finishing!M15+(N15+O15+P15+Q15)</f>
        <v>227.17743156872567</v>
      </c>
      <c r="F15" s="49">
        <f>(K15+Finishing!P15+Finishing!R15+Finishing!S15+Finishing!M15+(N15+O15+P15+Q15))*(Finishing!Q15/100)</f>
        <v>7.3600286733366724</v>
      </c>
      <c r="G15" s="49">
        <f>L15+Finishing!N15+R15</f>
        <v>232.33602394668179</v>
      </c>
      <c r="H15" s="5">
        <f>Finishing!E15*Finishing!D15</f>
        <v>4.1279999999999992</v>
      </c>
      <c r="I15" s="5">
        <f>H15*Finishing!F15</f>
        <v>0.45407999999999993</v>
      </c>
      <c r="J15" s="5">
        <f>I15*(Finishing!C16-Finishing!C15)</f>
        <v>18.110047448356379</v>
      </c>
      <c r="K15" s="5">
        <f t="shared" si="2"/>
        <v>107.20912420851941</v>
      </c>
      <c r="L15" s="5">
        <f>A15*(1-Finishing!O15/100)*B15</f>
        <v>214.56399999999996</v>
      </c>
      <c r="M15" s="5">
        <f t="shared" si="1"/>
        <v>1.1060000000000001</v>
      </c>
      <c r="N15" s="5">
        <f>Inputs!$F$26/(1-Inputs!$B$40/100)</f>
        <v>61.275973346462017</v>
      </c>
      <c r="O15" s="5">
        <f>Inputs!$B$37/(1-Inputs!$B$40/100)</f>
        <v>25.912275973552475</v>
      </c>
      <c r="P15" s="5">
        <f>Inputs!$B$45/(1-Inputs!$B$40/100)</f>
        <v>4.6442609322827177</v>
      </c>
      <c r="Q15" s="5">
        <f>Inputs!$B$48/(1-Inputs!$B$40/100)</f>
        <v>1.7647058823529411</v>
      </c>
      <c r="R15" s="5">
        <f>Inputs!$B$51/(1-Inputs!$B$40/100)</f>
        <v>15.022023946681815</v>
      </c>
      <c r="S15" s="5"/>
    </row>
    <row r="16" spans="1:20" x14ac:dyDescent="0.75">
      <c r="A16" s="11">
        <f>Finishing!A16</f>
        <v>168</v>
      </c>
      <c r="B16" s="15">
        <v>1.3</v>
      </c>
      <c r="C16" s="48">
        <f t="shared" si="0"/>
        <v>-28.260985122956342</v>
      </c>
      <c r="D16" s="48">
        <f>C16*Inputs!$B$26*(1-Finishing!Q16/100)</f>
        <v>-42.027419394296835</v>
      </c>
      <c r="E16" s="49">
        <f>K16+M16+Finishing!P16+Finishing!R16+Finishing!S16+Finishing!K16+Finishing!L16+Finishing!M16+(N16+O16+P16+Q16)</f>
        <v>249.39580595812475</v>
      </c>
      <c r="F16" s="49">
        <f>(K16+Finishing!P16+Finishing!R16+Finishing!S16+Finishing!M16+(N16+O16+P16+Q16))*(Finishing!Q16/100)</f>
        <v>8.4852031115134281</v>
      </c>
      <c r="G16" s="49">
        <f>L16+Finishing!N16+R16</f>
        <v>229.62002394668184</v>
      </c>
      <c r="H16" s="5">
        <f>Finishing!E16*Finishing!D16</f>
        <v>4.0459999999999994</v>
      </c>
      <c r="I16" s="5">
        <f>H16*Finishing!F16</f>
        <v>0.44505999999999996</v>
      </c>
      <c r="J16" s="5">
        <f>I16*(Finishing!C17-Finishing!C16)</f>
        <v>21.195879038717507</v>
      </c>
      <c r="K16" s="5">
        <f t="shared" si="2"/>
        <v>128.40500324723692</v>
      </c>
      <c r="L16" s="5">
        <f>A16*(1-Finishing!O16/100)*B16</f>
        <v>211.84800000000001</v>
      </c>
      <c r="M16" s="5">
        <f t="shared" si="1"/>
        <v>1.1759999999999999</v>
      </c>
      <c r="N16" s="5">
        <f>Inputs!$F$26/(1-Inputs!$B$40/100)</f>
        <v>61.275973346462017</v>
      </c>
      <c r="O16" s="5">
        <f>Inputs!$B$37/(1-Inputs!$B$40/100)</f>
        <v>25.912275973552475</v>
      </c>
      <c r="P16" s="5">
        <f>Inputs!$B$45/(1-Inputs!$B$40/100)</f>
        <v>4.6442609322827177</v>
      </c>
      <c r="Q16" s="5">
        <f>Inputs!$B$48/(1-Inputs!$B$40/100)</f>
        <v>1.7647058823529411</v>
      </c>
      <c r="R16" s="5">
        <f>Inputs!$B$51/(1-Inputs!$B$40/100)</f>
        <v>15.022023946681815</v>
      </c>
      <c r="S16" s="5"/>
    </row>
    <row r="17" spans="1:19" x14ac:dyDescent="0.75">
      <c r="A17" s="11">
        <f>Finishing!A17</f>
        <v>178</v>
      </c>
      <c r="B17" s="15"/>
      <c r="C17" s="48" t="e">
        <f t="shared" si="0"/>
        <v>#DIV/0!</v>
      </c>
      <c r="D17" s="48" t="e">
        <f>C17*Inputs!$B$26*(1-Finishing!Q17/100)</f>
        <v>#DIV/0!</v>
      </c>
      <c r="E17" s="49" t="e">
        <f>K17+M17+Finishing!P17+Finishing!R17+Finishing!S17+Finishing!K17+Finishing!L17+Finishing!M17+(N17+O17+P17+Q17)</f>
        <v>#DIV/0!</v>
      </c>
      <c r="F17" s="49" t="e">
        <f>(K17+Finishing!P17+Finishing!R17+Finishing!S17+Finishing!M17+(N17+O17+P17+Q17))*(Finishing!Q17/100)</f>
        <v>#DIV/0!</v>
      </c>
      <c r="G17" s="49">
        <f>L17+Finishing!N17+R17</f>
        <v>17.772023946681813</v>
      </c>
      <c r="H17" s="5">
        <f>Finishing!E17*Finishing!D17</f>
        <v>0</v>
      </c>
      <c r="I17" s="5">
        <f>H17*Finishing!F17</f>
        <v>0</v>
      </c>
      <c r="J17" s="5" t="e">
        <f>I17*(Finishing!C18-Finishing!C17)</f>
        <v>#DIV/0!</v>
      </c>
      <c r="K17" s="5" t="e">
        <f t="shared" si="2"/>
        <v>#DIV/0!</v>
      </c>
      <c r="L17" s="5">
        <f>A17*(1-Finishing!O17/100)*B17</f>
        <v>0</v>
      </c>
      <c r="M17" s="5">
        <f t="shared" si="1"/>
        <v>1.246</v>
      </c>
      <c r="N17" s="5">
        <f>Inputs!$F$26/(1-Inputs!$B$40/100)</f>
        <v>61.275973346462017</v>
      </c>
      <c r="O17" s="5">
        <f>Inputs!$B$37/(1-Inputs!$B$40/100)</f>
        <v>25.912275973552475</v>
      </c>
      <c r="P17" s="5">
        <f>Inputs!$B$45/(1-Inputs!$B$40/100)</f>
        <v>4.6442609322827177</v>
      </c>
      <c r="Q17" s="5">
        <f>Inputs!$B$48/(1-Inputs!$B$40/100)</f>
        <v>1.7647058823529411</v>
      </c>
      <c r="R17" s="5">
        <f>Inputs!$B$51/(1-Inputs!$B$40/100)</f>
        <v>15.022023946681815</v>
      </c>
      <c r="S17" s="5"/>
    </row>
    <row r="18" spans="1:19" x14ac:dyDescent="0.75">
      <c r="A18" s="11">
        <f>Finishing!A18</f>
        <v>188</v>
      </c>
      <c r="B18" s="15"/>
      <c r="C18" s="48" t="e">
        <f t="shared" si="0"/>
        <v>#DIV/0!</v>
      </c>
      <c r="D18" s="48" t="e">
        <f>C18*Inputs!$B$26*(1-Finishing!Q18/100)</f>
        <v>#DIV/0!</v>
      </c>
      <c r="E18" s="49" t="e">
        <f>K18+M18+Finishing!P18+Finishing!R18+Finishing!S18+Finishing!K18+Finishing!L18+Finishing!M18+(N18+O18+P18+Q18)</f>
        <v>#DIV/0!</v>
      </c>
      <c r="F18" s="49" t="e">
        <f>(K18+Finishing!P18+Finishing!R18+Finishing!S18+Finishing!M18+(N18+O18+P18+Q18))*(Finishing!Q18/100)</f>
        <v>#DIV/0!</v>
      </c>
      <c r="G18" s="49">
        <f>L18+Finishing!N18+R18</f>
        <v>17.772023946681813</v>
      </c>
      <c r="H18" s="5">
        <f>Finishing!E18*Finishing!D18</f>
        <v>0</v>
      </c>
      <c r="I18" s="5">
        <f>H18*Finishing!F18</f>
        <v>0</v>
      </c>
      <c r="J18" s="5" t="e">
        <f>I18*(Finishing!C18-Finishing!C17)</f>
        <v>#DIV/0!</v>
      </c>
      <c r="K18" s="5" t="e">
        <f t="shared" si="2"/>
        <v>#DIV/0!</v>
      </c>
      <c r="L18" s="5">
        <f>A18*(1-Finishing!O18/100)*B18</f>
        <v>0</v>
      </c>
      <c r="M18" s="5">
        <f t="shared" si="1"/>
        <v>1.3160000000000001</v>
      </c>
      <c r="N18" s="5">
        <f>Inputs!$F$26/(1-Inputs!$B$40/100)</f>
        <v>61.275973346462017</v>
      </c>
      <c r="O18" s="5">
        <f>Inputs!$B$37/(1-Inputs!$B$40/100)</f>
        <v>25.912275973552475</v>
      </c>
      <c r="P18" s="5">
        <f>Inputs!$B$45/(1-Inputs!$B$40/100)</f>
        <v>4.6442609322827177</v>
      </c>
      <c r="Q18" s="5">
        <f>Inputs!$B$48/(1-Inputs!$B$40/100)</f>
        <v>1.7647058823529411</v>
      </c>
      <c r="R18" s="5">
        <f>Inputs!$B$51/(1-Inputs!$B$40/100)</f>
        <v>15.022023946681815</v>
      </c>
      <c r="S18" s="5"/>
    </row>
    <row r="24" spans="1:19" x14ac:dyDescent="0.75">
      <c r="F24" s="64"/>
    </row>
    <row r="27" spans="1:19" x14ac:dyDescent="0.75">
      <c r="F27" s="6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T8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11" sqref="C11"/>
    </sheetView>
  </sheetViews>
  <sheetFormatPr defaultRowHeight="14.75" x14ac:dyDescent="0.75"/>
  <cols>
    <col min="1" max="1" width="46.7265625" customWidth="1"/>
    <col min="2" max="2" width="13.86328125" customWidth="1"/>
    <col min="3" max="3" width="31" customWidth="1"/>
    <col min="4" max="5" width="10.54296875" customWidth="1"/>
    <col min="6" max="6" width="10.86328125" customWidth="1"/>
    <col min="7" max="7" width="10.1328125" customWidth="1"/>
    <col min="13" max="13" width="12.26953125" customWidth="1"/>
    <col min="14" max="14" width="10.1328125" customWidth="1"/>
    <col min="15" max="15" width="10.26953125" customWidth="1"/>
    <col min="16" max="16" width="9.86328125" customWidth="1"/>
  </cols>
  <sheetData>
    <row r="1" spans="1:20" x14ac:dyDescent="0.75">
      <c r="A1" t="s">
        <v>145</v>
      </c>
      <c r="B1" s="97" t="s">
        <v>135</v>
      </c>
      <c r="C1" s="97"/>
      <c r="D1" s="77" t="s">
        <v>136</v>
      </c>
      <c r="E1" s="78" t="s">
        <v>137</v>
      </c>
      <c r="F1" s="77" t="s">
        <v>138</v>
      </c>
      <c r="G1" s="78" t="s">
        <v>139</v>
      </c>
      <c r="H1" s="77" t="s">
        <v>140</v>
      </c>
      <c r="I1" s="78" t="s">
        <v>141</v>
      </c>
      <c r="J1" s="77" t="s">
        <v>142</v>
      </c>
      <c r="K1" s="78" t="s">
        <v>143</v>
      </c>
      <c r="M1" s="79" t="s">
        <v>136</v>
      </c>
      <c r="N1" s="80" t="s">
        <v>137</v>
      </c>
      <c r="O1" s="79" t="s">
        <v>138</v>
      </c>
      <c r="P1" s="80" t="s">
        <v>139</v>
      </c>
      <c r="Q1" s="79" t="s">
        <v>140</v>
      </c>
      <c r="R1" s="80" t="s">
        <v>141</v>
      </c>
      <c r="S1" s="79" t="s">
        <v>142</v>
      </c>
      <c r="T1" s="80" t="s">
        <v>143</v>
      </c>
    </row>
    <row r="2" spans="1:20" x14ac:dyDescent="0.75">
      <c r="B2" s="9"/>
      <c r="C2" s="9" t="s">
        <v>133</v>
      </c>
      <c r="D2" s="46" t="s">
        <v>131</v>
      </c>
      <c r="E2" s="46" t="s">
        <v>131</v>
      </c>
      <c r="F2" s="46" t="s">
        <v>131</v>
      </c>
      <c r="G2" s="46" t="s">
        <v>131</v>
      </c>
      <c r="H2" s="50" t="s">
        <v>131</v>
      </c>
      <c r="I2" s="50" t="s">
        <v>131</v>
      </c>
      <c r="J2" s="50" t="s">
        <v>131</v>
      </c>
      <c r="K2" s="50" t="s">
        <v>131</v>
      </c>
      <c r="M2" s="46" t="s">
        <v>132</v>
      </c>
      <c r="N2" s="46" t="s">
        <v>132</v>
      </c>
      <c r="O2" s="46" t="s">
        <v>132</v>
      </c>
      <c r="P2" s="46" t="s">
        <v>132</v>
      </c>
      <c r="Q2" s="50" t="s">
        <v>132</v>
      </c>
      <c r="R2" s="50" t="s">
        <v>132</v>
      </c>
      <c r="S2" s="50" t="s">
        <v>132</v>
      </c>
      <c r="T2" s="50" t="s">
        <v>132</v>
      </c>
    </row>
    <row r="3" spans="1:20" x14ac:dyDescent="0.75">
      <c r="A3" t="s">
        <v>13</v>
      </c>
      <c r="B3" s="51">
        <f>Inputs!B2</f>
        <v>48</v>
      </c>
      <c r="C3" s="12" t="s">
        <v>9</v>
      </c>
      <c r="D3" s="62">
        <f>$B3</f>
        <v>48</v>
      </c>
      <c r="E3" s="75">
        <f t="shared" ref="E3:K18" si="0">$B3</f>
        <v>48</v>
      </c>
      <c r="F3" s="69">
        <f t="shared" si="0"/>
        <v>48</v>
      </c>
      <c r="G3" s="75">
        <f t="shared" si="0"/>
        <v>48</v>
      </c>
      <c r="H3" s="69">
        <f t="shared" si="0"/>
        <v>48</v>
      </c>
      <c r="I3" s="75">
        <f t="shared" si="0"/>
        <v>48</v>
      </c>
      <c r="J3" s="69">
        <f t="shared" si="0"/>
        <v>48</v>
      </c>
      <c r="K3" s="75">
        <f t="shared" si="0"/>
        <v>48</v>
      </c>
      <c r="M3" s="62">
        <f>(D3/$B3-1)*100</f>
        <v>0</v>
      </c>
      <c r="N3" s="75">
        <f t="shared" ref="N3:T3" si="1">(E3/$B3-1)*100</f>
        <v>0</v>
      </c>
      <c r="O3" s="69">
        <f t="shared" si="1"/>
        <v>0</v>
      </c>
      <c r="P3" s="75">
        <f t="shared" si="1"/>
        <v>0</v>
      </c>
      <c r="Q3" s="69">
        <f t="shared" si="1"/>
        <v>0</v>
      </c>
      <c r="R3" s="75">
        <f t="shared" si="1"/>
        <v>0</v>
      </c>
      <c r="S3" s="69">
        <f t="shared" si="1"/>
        <v>0</v>
      </c>
      <c r="T3" s="75">
        <f t="shared" si="1"/>
        <v>0</v>
      </c>
    </row>
    <row r="4" spans="1:20" x14ac:dyDescent="0.75">
      <c r="A4" t="s">
        <v>14</v>
      </c>
      <c r="B4" s="51">
        <f>Inputs!B3</f>
        <v>65</v>
      </c>
      <c r="C4" s="12" t="s">
        <v>10</v>
      </c>
      <c r="D4" s="69">
        <f t="shared" ref="D4:K29" si="2">$B4</f>
        <v>65</v>
      </c>
      <c r="E4" s="75">
        <f t="shared" si="0"/>
        <v>65</v>
      </c>
      <c r="F4" s="69">
        <f t="shared" si="0"/>
        <v>65</v>
      </c>
      <c r="G4" s="75">
        <f t="shared" si="0"/>
        <v>65</v>
      </c>
      <c r="H4" s="69">
        <f t="shared" si="0"/>
        <v>65</v>
      </c>
      <c r="I4" s="75">
        <f t="shared" si="0"/>
        <v>65</v>
      </c>
      <c r="J4" s="69">
        <f t="shared" si="0"/>
        <v>65</v>
      </c>
      <c r="K4" s="75">
        <f t="shared" si="0"/>
        <v>65</v>
      </c>
      <c r="M4" s="69">
        <f t="shared" ref="M4:M29" si="3">(D4/$B4-1)*100</f>
        <v>0</v>
      </c>
      <c r="N4" s="75">
        <f t="shared" ref="N4:N29" si="4">(E4/$B4-1)*100</f>
        <v>0</v>
      </c>
      <c r="O4" s="69">
        <f t="shared" ref="O4:O29" si="5">(F4/$B4-1)*100</f>
        <v>0</v>
      </c>
      <c r="P4" s="75">
        <f t="shared" ref="P4:P29" si="6">(G4/$B4-1)*100</f>
        <v>0</v>
      </c>
      <c r="Q4" s="69">
        <f t="shared" ref="Q4:Q29" si="7">(H4/$B4-1)*100</f>
        <v>0</v>
      </c>
      <c r="R4" s="75">
        <f t="shared" ref="R4:R29" si="8">(I4/$B4-1)*100</f>
        <v>0</v>
      </c>
      <c r="S4" s="69">
        <f t="shared" ref="S4:S29" si="9">(J4/$B4-1)*100</f>
        <v>0</v>
      </c>
      <c r="T4" s="75">
        <f t="shared" ref="T4:T29" si="10">(K4/$B4-1)*100</f>
        <v>0</v>
      </c>
    </row>
    <row r="5" spans="1:20" x14ac:dyDescent="0.75">
      <c r="A5" t="s">
        <v>15</v>
      </c>
      <c r="B5" s="51">
        <f>Inputs!B4</f>
        <v>0</v>
      </c>
      <c r="C5" s="12" t="s">
        <v>10</v>
      </c>
      <c r="D5" s="69">
        <f t="shared" si="2"/>
        <v>0</v>
      </c>
      <c r="E5" s="75">
        <f t="shared" si="0"/>
        <v>0</v>
      </c>
      <c r="F5" s="69">
        <f t="shared" si="0"/>
        <v>0</v>
      </c>
      <c r="G5" s="75">
        <f t="shared" si="0"/>
        <v>0</v>
      </c>
      <c r="H5" s="69">
        <f t="shared" si="0"/>
        <v>0</v>
      </c>
      <c r="I5" s="75">
        <f t="shared" si="0"/>
        <v>0</v>
      </c>
      <c r="J5" s="69">
        <f t="shared" si="0"/>
        <v>0</v>
      </c>
      <c r="K5" s="75">
        <f t="shared" si="0"/>
        <v>0</v>
      </c>
      <c r="M5" s="69" t="e">
        <f t="shared" si="3"/>
        <v>#DIV/0!</v>
      </c>
      <c r="N5" s="75" t="e">
        <f t="shared" si="4"/>
        <v>#DIV/0!</v>
      </c>
      <c r="O5" s="69" t="e">
        <f t="shared" si="5"/>
        <v>#DIV/0!</v>
      </c>
      <c r="P5" s="75" t="e">
        <f t="shared" si="6"/>
        <v>#DIV/0!</v>
      </c>
      <c r="Q5" s="69" t="e">
        <f t="shared" si="7"/>
        <v>#DIV/0!</v>
      </c>
      <c r="R5" s="75" t="e">
        <f t="shared" si="8"/>
        <v>#DIV/0!</v>
      </c>
      <c r="S5" s="69" t="e">
        <f t="shared" si="9"/>
        <v>#DIV/0!</v>
      </c>
      <c r="T5" s="75" t="e">
        <f t="shared" si="10"/>
        <v>#DIV/0!</v>
      </c>
    </row>
    <row r="6" spans="1:20" x14ac:dyDescent="0.75">
      <c r="A6" t="s">
        <v>16</v>
      </c>
      <c r="B6" s="51">
        <f>Inputs!B5</f>
        <v>0.4</v>
      </c>
      <c r="C6" s="12" t="s">
        <v>53</v>
      </c>
      <c r="D6" s="69">
        <f t="shared" si="2"/>
        <v>0.4</v>
      </c>
      <c r="E6" s="75">
        <f t="shared" si="0"/>
        <v>0.4</v>
      </c>
      <c r="F6" s="69">
        <f t="shared" si="0"/>
        <v>0.4</v>
      </c>
      <c r="G6" s="75">
        <f t="shared" si="0"/>
        <v>0.4</v>
      </c>
      <c r="H6" s="69">
        <f t="shared" si="0"/>
        <v>0.4</v>
      </c>
      <c r="I6" s="75">
        <f t="shared" si="0"/>
        <v>0.4</v>
      </c>
      <c r="J6" s="69">
        <f t="shared" si="0"/>
        <v>0.4</v>
      </c>
      <c r="K6" s="75">
        <f t="shared" si="0"/>
        <v>0.4</v>
      </c>
      <c r="M6" s="69">
        <f t="shared" si="3"/>
        <v>0</v>
      </c>
      <c r="N6" s="75">
        <f t="shared" si="4"/>
        <v>0</v>
      </c>
      <c r="O6" s="69">
        <f t="shared" si="5"/>
        <v>0</v>
      </c>
      <c r="P6" s="75">
        <f t="shared" si="6"/>
        <v>0</v>
      </c>
      <c r="Q6" s="69">
        <f t="shared" si="7"/>
        <v>0</v>
      </c>
      <c r="R6" s="75">
        <f t="shared" si="8"/>
        <v>0</v>
      </c>
      <c r="S6" s="69">
        <f t="shared" si="9"/>
        <v>0</v>
      </c>
      <c r="T6" s="75">
        <f t="shared" si="10"/>
        <v>0</v>
      </c>
    </row>
    <row r="7" spans="1:20" x14ac:dyDescent="0.75">
      <c r="A7" t="s">
        <v>18</v>
      </c>
      <c r="B7" s="51">
        <f>Inputs!B6</f>
        <v>0.15</v>
      </c>
      <c r="C7" s="12" t="s">
        <v>52</v>
      </c>
      <c r="D7" s="69">
        <f t="shared" si="2"/>
        <v>0.15</v>
      </c>
      <c r="E7" s="75">
        <f t="shared" si="0"/>
        <v>0.15</v>
      </c>
      <c r="F7" s="69">
        <f t="shared" si="0"/>
        <v>0.15</v>
      </c>
      <c r="G7" s="75">
        <f t="shared" si="0"/>
        <v>0.15</v>
      </c>
      <c r="H7" s="69">
        <f t="shared" si="0"/>
        <v>0.15</v>
      </c>
      <c r="I7" s="75">
        <f t="shared" si="0"/>
        <v>0.15</v>
      </c>
      <c r="J7" s="69">
        <f t="shared" si="0"/>
        <v>0.15</v>
      </c>
      <c r="K7" s="75">
        <f t="shared" si="0"/>
        <v>0.15</v>
      </c>
      <c r="M7" s="69">
        <f t="shared" si="3"/>
        <v>0</v>
      </c>
      <c r="N7" s="75">
        <f t="shared" si="4"/>
        <v>0</v>
      </c>
      <c r="O7" s="69">
        <f t="shared" si="5"/>
        <v>0</v>
      </c>
      <c r="P7" s="75">
        <f t="shared" si="6"/>
        <v>0</v>
      </c>
      <c r="Q7" s="69">
        <f t="shared" si="7"/>
        <v>0</v>
      </c>
      <c r="R7" s="75">
        <f t="shared" si="8"/>
        <v>0</v>
      </c>
      <c r="S7" s="69">
        <f t="shared" si="9"/>
        <v>0</v>
      </c>
      <c r="T7" s="75">
        <f t="shared" si="10"/>
        <v>0</v>
      </c>
    </row>
    <row r="8" spans="1:20" x14ac:dyDescent="0.75">
      <c r="A8" t="s">
        <v>46</v>
      </c>
      <c r="B8" s="51">
        <f>Inputs!B8</f>
        <v>0</v>
      </c>
      <c r="C8" s="12" t="s">
        <v>10</v>
      </c>
      <c r="D8" s="69">
        <f t="shared" si="2"/>
        <v>0</v>
      </c>
      <c r="E8" s="75">
        <f t="shared" si="0"/>
        <v>0</v>
      </c>
      <c r="F8" s="69">
        <f t="shared" si="0"/>
        <v>0</v>
      </c>
      <c r="G8" s="75">
        <f t="shared" si="0"/>
        <v>0</v>
      </c>
      <c r="H8" s="69">
        <f t="shared" si="0"/>
        <v>0</v>
      </c>
      <c r="I8" s="75">
        <f t="shared" si="0"/>
        <v>0</v>
      </c>
      <c r="J8" s="69">
        <f t="shared" si="0"/>
        <v>0</v>
      </c>
      <c r="K8" s="75">
        <f t="shared" si="0"/>
        <v>0</v>
      </c>
      <c r="M8" s="69" t="e">
        <f t="shared" si="3"/>
        <v>#DIV/0!</v>
      </c>
      <c r="N8" s="75" t="e">
        <f t="shared" si="4"/>
        <v>#DIV/0!</v>
      </c>
      <c r="O8" s="69" t="e">
        <f t="shared" si="5"/>
        <v>#DIV/0!</v>
      </c>
      <c r="P8" s="75" t="e">
        <f t="shared" si="6"/>
        <v>#DIV/0!</v>
      </c>
      <c r="Q8" s="69" t="e">
        <f t="shared" si="7"/>
        <v>#DIV/0!</v>
      </c>
      <c r="R8" s="75" t="e">
        <f t="shared" si="8"/>
        <v>#DIV/0!</v>
      </c>
      <c r="S8" s="69" t="e">
        <f t="shared" si="9"/>
        <v>#DIV/0!</v>
      </c>
      <c r="T8" s="75" t="e">
        <f t="shared" si="10"/>
        <v>#DIV/0!</v>
      </c>
    </row>
    <row r="9" spans="1:20" x14ac:dyDescent="0.75">
      <c r="A9" t="s">
        <v>47</v>
      </c>
      <c r="B9" s="51">
        <f>Inputs!B9</f>
        <v>0.2</v>
      </c>
      <c r="C9" s="12" t="s">
        <v>53</v>
      </c>
      <c r="D9" s="69">
        <f t="shared" si="2"/>
        <v>0.2</v>
      </c>
      <c r="E9" s="75">
        <f t="shared" si="0"/>
        <v>0.2</v>
      </c>
      <c r="F9" s="69">
        <f t="shared" si="0"/>
        <v>0.2</v>
      </c>
      <c r="G9" s="75">
        <f t="shared" si="0"/>
        <v>0.2</v>
      </c>
      <c r="H9" s="69">
        <f t="shared" si="0"/>
        <v>0.2</v>
      </c>
      <c r="I9" s="75">
        <f t="shared" si="0"/>
        <v>0.2</v>
      </c>
      <c r="J9" s="69">
        <f t="shared" si="0"/>
        <v>0.2</v>
      </c>
      <c r="K9" s="75">
        <f t="shared" si="0"/>
        <v>0.2</v>
      </c>
      <c r="M9" s="69">
        <f t="shared" si="3"/>
        <v>0</v>
      </c>
      <c r="N9" s="75">
        <f t="shared" si="4"/>
        <v>0</v>
      </c>
      <c r="O9" s="69">
        <f t="shared" si="5"/>
        <v>0</v>
      </c>
      <c r="P9" s="75">
        <f t="shared" si="6"/>
        <v>0</v>
      </c>
      <c r="Q9" s="69">
        <f t="shared" si="7"/>
        <v>0</v>
      </c>
      <c r="R9" s="75">
        <f t="shared" si="8"/>
        <v>0</v>
      </c>
      <c r="S9" s="69">
        <f t="shared" si="9"/>
        <v>0</v>
      </c>
      <c r="T9" s="75">
        <f t="shared" si="10"/>
        <v>0</v>
      </c>
    </row>
    <row r="10" spans="1:20" x14ac:dyDescent="0.75">
      <c r="A10" t="s">
        <v>48</v>
      </c>
      <c r="B10" s="51">
        <f>Inputs!B10</f>
        <v>7.0000000000000007E-2</v>
      </c>
      <c r="C10" s="12" t="s">
        <v>52</v>
      </c>
      <c r="D10" s="69">
        <f t="shared" si="2"/>
        <v>7.0000000000000007E-2</v>
      </c>
      <c r="E10" s="75">
        <f t="shared" si="0"/>
        <v>7.0000000000000007E-2</v>
      </c>
      <c r="F10" s="69">
        <f t="shared" si="0"/>
        <v>7.0000000000000007E-2</v>
      </c>
      <c r="G10" s="75">
        <f t="shared" si="0"/>
        <v>7.0000000000000007E-2</v>
      </c>
      <c r="H10" s="69">
        <f t="shared" si="0"/>
        <v>7.0000000000000007E-2</v>
      </c>
      <c r="I10" s="75">
        <f t="shared" si="0"/>
        <v>7.0000000000000007E-2</v>
      </c>
      <c r="J10" s="69">
        <f t="shared" si="0"/>
        <v>7.0000000000000007E-2</v>
      </c>
      <c r="K10" s="75">
        <f t="shared" si="0"/>
        <v>7.0000000000000007E-2</v>
      </c>
      <c r="M10" s="69">
        <f t="shared" si="3"/>
        <v>0</v>
      </c>
      <c r="N10" s="75">
        <f t="shared" si="4"/>
        <v>0</v>
      </c>
      <c r="O10" s="69">
        <f t="shared" si="5"/>
        <v>0</v>
      </c>
      <c r="P10" s="75">
        <f t="shared" si="6"/>
        <v>0</v>
      </c>
      <c r="Q10" s="69">
        <f t="shared" si="7"/>
        <v>0</v>
      </c>
      <c r="R10" s="75">
        <f t="shared" si="8"/>
        <v>0</v>
      </c>
      <c r="S10" s="69">
        <f t="shared" si="9"/>
        <v>0</v>
      </c>
      <c r="T10" s="75">
        <f t="shared" si="10"/>
        <v>0</v>
      </c>
    </row>
    <row r="11" spans="1:20" x14ac:dyDescent="0.75">
      <c r="A11" t="s">
        <v>27</v>
      </c>
      <c r="B11" s="51">
        <f>Inputs!B16</f>
        <v>175</v>
      </c>
      <c r="C11" s="12" t="s">
        <v>54</v>
      </c>
      <c r="D11" s="69">
        <f t="shared" si="2"/>
        <v>175</v>
      </c>
      <c r="E11" s="75">
        <f t="shared" si="0"/>
        <v>175</v>
      </c>
      <c r="F11" s="69">
        <f t="shared" si="0"/>
        <v>175</v>
      </c>
      <c r="G11" s="75">
        <f t="shared" si="0"/>
        <v>175</v>
      </c>
      <c r="H11" s="69">
        <f t="shared" si="0"/>
        <v>175</v>
      </c>
      <c r="I11" s="75">
        <f t="shared" si="0"/>
        <v>175</v>
      </c>
      <c r="J11" s="69">
        <f t="shared" si="0"/>
        <v>175</v>
      </c>
      <c r="K11" s="75">
        <f t="shared" si="0"/>
        <v>175</v>
      </c>
      <c r="M11" s="69">
        <f t="shared" si="3"/>
        <v>0</v>
      </c>
      <c r="N11" s="75">
        <f t="shared" si="4"/>
        <v>0</v>
      </c>
      <c r="O11" s="69">
        <f t="shared" si="5"/>
        <v>0</v>
      </c>
      <c r="P11" s="75">
        <f t="shared" si="6"/>
        <v>0</v>
      </c>
      <c r="Q11" s="69">
        <f t="shared" si="7"/>
        <v>0</v>
      </c>
      <c r="R11" s="75">
        <f t="shared" si="8"/>
        <v>0</v>
      </c>
      <c r="S11" s="69">
        <f t="shared" si="9"/>
        <v>0</v>
      </c>
      <c r="T11" s="75">
        <f t="shared" si="10"/>
        <v>0</v>
      </c>
    </row>
    <row r="12" spans="1:20" x14ac:dyDescent="0.75">
      <c r="A12" t="s">
        <v>28</v>
      </c>
      <c r="B12" s="51">
        <f>Inputs!B17</f>
        <v>4.2000000000000003E-2</v>
      </c>
      <c r="C12" s="12" t="s">
        <v>52</v>
      </c>
      <c r="D12" s="69">
        <f t="shared" si="2"/>
        <v>4.2000000000000003E-2</v>
      </c>
      <c r="E12" s="75">
        <f t="shared" si="0"/>
        <v>4.2000000000000003E-2</v>
      </c>
      <c r="F12" s="69">
        <f t="shared" si="0"/>
        <v>4.2000000000000003E-2</v>
      </c>
      <c r="G12" s="75">
        <f t="shared" si="0"/>
        <v>4.2000000000000003E-2</v>
      </c>
      <c r="H12" s="69">
        <f t="shared" si="0"/>
        <v>4.2000000000000003E-2</v>
      </c>
      <c r="I12" s="75">
        <f t="shared" si="0"/>
        <v>4.2000000000000003E-2</v>
      </c>
      <c r="J12" s="69">
        <f t="shared" si="0"/>
        <v>4.2000000000000003E-2</v>
      </c>
      <c r="K12" s="75">
        <f t="shared" si="0"/>
        <v>4.2000000000000003E-2</v>
      </c>
      <c r="M12" s="69">
        <f t="shared" si="3"/>
        <v>0</v>
      </c>
      <c r="N12" s="75">
        <f t="shared" si="4"/>
        <v>0</v>
      </c>
      <c r="O12" s="69">
        <f t="shared" si="5"/>
        <v>0</v>
      </c>
      <c r="P12" s="75">
        <f t="shared" si="6"/>
        <v>0</v>
      </c>
      <c r="Q12" s="69">
        <f t="shared" si="7"/>
        <v>0</v>
      </c>
      <c r="R12" s="75">
        <f t="shared" si="8"/>
        <v>0</v>
      </c>
      <c r="S12" s="69">
        <f t="shared" si="9"/>
        <v>0</v>
      </c>
      <c r="T12" s="75">
        <f t="shared" si="10"/>
        <v>0</v>
      </c>
    </row>
    <row r="13" spans="1:20" x14ac:dyDescent="0.75">
      <c r="A13" t="s">
        <v>29</v>
      </c>
      <c r="B13" s="51">
        <f>Inputs!B18</f>
        <v>5.7000000000000002E-2</v>
      </c>
      <c r="C13" s="12" t="s">
        <v>52</v>
      </c>
      <c r="D13" s="69">
        <f t="shared" si="2"/>
        <v>5.7000000000000002E-2</v>
      </c>
      <c r="E13" s="75">
        <f t="shared" si="0"/>
        <v>5.7000000000000002E-2</v>
      </c>
      <c r="F13" s="69">
        <f t="shared" si="0"/>
        <v>5.7000000000000002E-2</v>
      </c>
      <c r="G13" s="75">
        <f t="shared" si="0"/>
        <v>5.7000000000000002E-2</v>
      </c>
      <c r="H13" s="69">
        <f t="shared" si="0"/>
        <v>5.7000000000000002E-2</v>
      </c>
      <c r="I13" s="75">
        <f t="shared" si="0"/>
        <v>5.7000000000000002E-2</v>
      </c>
      <c r="J13" s="69">
        <f t="shared" si="0"/>
        <v>5.7000000000000002E-2</v>
      </c>
      <c r="K13" s="75">
        <f t="shared" si="0"/>
        <v>5.7000000000000002E-2</v>
      </c>
      <c r="M13" s="69">
        <f t="shared" si="3"/>
        <v>0</v>
      </c>
      <c r="N13" s="75">
        <f t="shared" si="4"/>
        <v>0</v>
      </c>
      <c r="O13" s="69">
        <f t="shared" si="5"/>
        <v>0</v>
      </c>
      <c r="P13" s="75">
        <f t="shared" si="6"/>
        <v>0</v>
      </c>
      <c r="Q13" s="69">
        <f t="shared" si="7"/>
        <v>0</v>
      </c>
      <c r="R13" s="75">
        <f t="shared" si="8"/>
        <v>0</v>
      </c>
      <c r="S13" s="69">
        <f t="shared" si="9"/>
        <v>0</v>
      </c>
      <c r="T13" s="75">
        <f t="shared" si="10"/>
        <v>0</v>
      </c>
    </row>
    <row r="14" spans="1:20" x14ac:dyDescent="0.75">
      <c r="A14" t="s">
        <v>30</v>
      </c>
      <c r="B14" s="51">
        <f>Inputs!B19</f>
        <v>12</v>
      </c>
      <c r="C14" s="12" t="s">
        <v>82</v>
      </c>
      <c r="D14" s="69">
        <f t="shared" si="2"/>
        <v>12</v>
      </c>
      <c r="E14" s="75">
        <f t="shared" si="0"/>
        <v>12</v>
      </c>
      <c r="F14" s="69">
        <f t="shared" si="0"/>
        <v>12</v>
      </c>
      <c r="G14" s="75">
        <f t="shared" si="0"/>
        <v>12</v>
      </c>
      <c r="H14" s="69">
        <f t="shared" si="0"/>
        <v>12</v>
      </c>
      <c r="I14" s="75">
        <f t="shared" si="0"/>
        <v>12</v>
      </c>
      <c r="J14" s="69">
        <f t="shared" si="0"/>
        <v>12</v>
      </c>
      <c r="K14" s="75">
        <f t="shared" si="0"/>
        <v>12</v>
      </c>
      <c r="M14" s="69">
        <f t="shared" si="3"/>
        <v>0</v>
      </c>
      <c r="N14" s="75">
        <f t="shared" si="4"/>
        <v>0</v>
      </c>
      <c r="O14" s="69">
        <f t="shared" si="5"/>
        <v>0</v>
      </c>
      <c r="P14" s="75">
        <f t="shared" si="6"/>
        <v>0</v>
      </c>
      <c r="Q14" s="69">
        <f t="shared" si="7"/>
        <v>0</v>
      </c>
      <c r="R14" s="75">
        <f t="shared" si="8"/>
        <v>0</v>
      </c>
      <c r="S14" s="69">
        <f t="shared" si="9"/>
        <v>0</v>
      </c>
      <c r="T14" s="75">
        <f t="shared" si="10"/>
        <v>0</v>
      </c>
    </row>
    <row r="15" spans="1:20" x14ac:dyDescent="0.75">
      <c r="A15" t="s">
        <v>31</v>
      </c>
      <c r="B15" s="51">
        <f>Inputs!B20</f>
        <v>94</v>
      </c>
      <c r="C15" s="12" t="s">
        <v>25</v>
      </c>
      <c r="D15" s="69">
        <f t="shared" si="2"/>
        <v>94</v>
      </c>
      <c r="E15" s="75">
        <f t="shared" si="0"/>
        <v>94</v>
      </c>
      <c r="F15" s="69">
        <f t="shared" si="0"/>
        <v>94</v>
      </c>
      <c r="G15" s="75">
        <f t="shared" si="0"/>
        <v>94</v>
      </c>
      <c r="H15" s="69">
        <f t="shared" si="0"/>
        <v>94</v>
      </c>
      <c r="I15" s="75">
        <f t="shared" si="0"/>
        <v>94</v>
      </c>
      <c r="J15" s="69">
        <f t="shared" si="0"/>
        <v>94</v>
      </c>
      <c r="K15" s="75">
        <f t="shared" si="0"/>
        <v>94</v>
      </c>
      <c r="M15" s="69">
        <f t="shared" si="3"/>
        <v>0</v>
      </c>
      <c r="N15" s="75">
        <f t="shared" si="4"/>
        <v>0</v>
      </c>
      <c r="O15" s="69">
        <f t="shared" si="5"/>
        <v>0</v>
      </c>
      <c r="P15" s="75">
        <f t="shared" si="6"/>
        <v>0</v>
      </c>
      <c r="Q15" s="69">
        <f t="shared" si="7"/>
        <v>0</v>
      </c>
      <c r="R15" s="75">
        <f t="shared" si="8"/>
        <v>0</v>
      </c>
      <c r="S15" s="69">
        <f t="shared" si="9"/>
        <v>0</v>
      </c>
      <c r="T15" s="75">
        <f t="shared" si="10"/>
        <v>0</v>
      </c>
    </row>
    <row r="16" spans="1:20" x14ac:dyDescent="0.75">
      <c r="A16" t="s">
        <v>32</v>
      </c>
      <c r="B16" s="51">
        <f>Inputs!B21</f>
        <v>1.9</v>
      </c>
      <c r="C16" s="12" t="s">
        <v>33</v>
      </c>
      <c r="D16" s="69">
        <f t="shared" si="2"/>
        <v>1.9</v>
      </c>
      <c r="E16" s="75">
        <f t="shared" si="0"/>
        <v>1.9</v>
      </c>
      <c r="F16" s="69">
        <f t="shared" si="0"/>
        <v>1.9</v>
      </c>
      <c r="G16" s="75">
        <f t="shared" si="0"/>
        <v>1.9</v>
      </c>
      <c r="H16" s="69">
        <f t="shared" si="0"/>
        <v>1.9</v>
      </c>
      <c r="I16" s="75">
        <f t="shared" si="0"/>
        <v>1.9</v>
      </c>
      <c r="J16" s="69">
        <f t="shared" si="0"/>
        <v>1.9</v>
      </c>
      <c r="K16" s="75">
        <f t="shared" si="0"/>
        <v>1.9</v>
      </c>
      <c r="M16" s="69">
        <f t="shared" si="3"/>
        <v>0</v>
      </c>
      <c r="N16" s="75">
        <f t="shared" si="4"/>
        <v>0</v>
      </c>
      <c r="O16" s="69">
        <f t="shared" si="5"/>
        <v>0</v>
      </c>
      <c r="P16" s="75">
        <f t="shared" si="6"/>
        <v>0</v>
      </c>
      <c r="Q16" s="69">
        <f t="shared" si="7"/>
        <v>0</v>
      </c>
      <c r="R16" s="75">
        <f t="shared" si="8"/>
        <v>0</v>
      </c>
      <c r="S16" s="69">
        <f t="shared" si="9"/>
        <v>0</v>
      </c>
      <c r="T16" s="75">
        <f t="shared" si="10"/>
        <v>0</v>
      </c>
    </row>
    <row r="17" spans="1:20" x14ac:dyDescent="0.75">
      <c r="A17" t="s">
        <v>60</v>
      </c>
      <c r="B17" s="51">
        <f>Inputs!B22</f>
        <v>11</v>
      </c>
      <c r="C17" s="12" t="s">
        <v>84</v>
      </c>
      <c r="D17" s="69">
        <f t="shared" si="2"/>
        <v>11</v>
      </c>
      <c r="E17" s="75">
        <f t="shared" si="0"/>
        <v>11</v>
      </c>
      <c r="F17" s="69">
        <f t="shared" si="0"/>
        <v>11</v>
      </c>
      <c r="G17" s="75">
        <f t="shared" si="0"/>
        <v>11</v>
      </c>
      <c r="H17" s="69">
        <f t="shared" si="0"/>
        <v>11</v>
      </c>
      <c r="I17" s="75">
        <f t="shared" si="0"/>
        <v>11</v>
      </c>
      <c r="J17" s="69">
        <f t="shared" si="0"/>
        <v>11</v>
      </c>
      <c r="K17" s="75">
        <f t="shared" si="0"/>
        <v>11</v>
      </c>
      <c r="M17" s="69">
        <f t="shared" si="3"/>
        <v>0</v>
      </c>
      <c r="N17" s="75">
        <f t="shared" si="4"/>
        <v>0</v>
      </c>
      <c r="O17" s="69">
        <f t="shared" si="5"/>
        <v>0</v>
      </c>
      <c r="P17" s="75">
        <f t="shared" si="6"/>
        <v>0</v>
      </c>
      <c r="Q17" s="69">
        <f t="shared" si="7"/>
        <v>0</v>
      </c>
      <c r="R17" s="75">
        <f t="shared" si="8"/>
        <v>0</v>
      </c>
      <c r="S17" s="69">
        <f t="shared" si="9"/>
        <v>0</v>
      </c>
      <c r="T17" s="75">
        <f t="shared" si="10"/>
        <v>0</v>
      </c>
    </row>
    <row r="18" spans="1:20" x14ac:dyDescent="0.75">
      <c r="A18" t="s">
        <v>59</v>
      </c>
      <c r="B18" s="51">
        <f>Inputs!B23</f>
        <v>3</v>
      </c>
      <c r="C18" s="12" t="s">
        <v>85</v>
      </c>
      <c r="D18" s="69">
        <f t="shared" si="2"/>
        <v>3</v>
      </c>
      <c r="E18" s="75">
        <f t="shared" si="0"/>
        <v>3</v>
      </c>
      <c r="F18" s="69">
        <f t="shared" si="0"/>
        <v>3</v>
      </c>
      <c r="G18" s="75">
        <f t="shared" si="0"/>
        <v>3</v>
      </c>
      <c r="H18" s="69">
        <f t="shared" si="0"/>
        <v>3</v>
      </c>
      <c r="I18" s="75">
        <f t="shared" si="0"/>
        <v>3</v>
      </c>
      <c r="J18" s="69">
        <f t="shared" si="0"/>
        <v>3</v>
      </c>
      <c r="K18" s="75">
        <f t="shared" si="0"/>
        <v>3</v>
      </c>
      <c r="M18" s="69">
        <f t="shared" si="3"/>
        <v>0</v>
      </c>
      <c r="N18" s="75">
        <f t="shared" si="4"/>
        <v>0</v>
      </c>
      <c r="O18" s="69">
        <f t="shared" si="5"/>
        <v>0</v>
      </c>
      <c r="P18" s="75">
        <f t="shared" si="6"/>
        <v>0</v>
      </c>
      <c r="Q18" s="69">
        <f t="shared" si="7"/>
        <v>0</v>
      </c>
      <c r="R18" s="75">
        <f t="shared" si="8"/>
        <v>0</v>
      </c>
      <c r="S18" s="69">
        <f t="shared" si="9"/>
        <v>0</v>
      </c>
      <c r="T18" s="75">
        <f t="shared" si="10"/>
        <v>0</v>
      </c>
    </row>
    <row r="19" spans="1:20" x14ac:dyDescent="0.75">
      <c r="A19" t="s">
        <v>36</v>
      </c>
      <c r="B19" s="51">
        <f>Inputs!B29</f>
        <v>10</v>
      </c>
      <c r="C19" s="12" t="s">
        <v>35</v>
      </c>
      <c r="D19" s="69">
        <f t="shared" si="2"/>
        <v>10</v>
      </c>
      <c r="E19" s="75">
        <f t="shared" si="2"/>
        <v>10</v>
      </c>
      <c r="F19" s="69">
        <f t="shared" si="2"/>
        <v>10</v>
      </c>
      <c r="G19" s="75">
        <f t="shared" si="2"/>
        <v>10</v>
      </c>
      <c r="H19" s="69">
        <f t="shared" si="2"/>
        <v>10</v>
      </c>
      <c r="I19" s="75">
        <f t="shared" si="2"/>
        <v>10</v>
      </c>
      <c r="J19" s="69">
        <f t="shared" si="2"/>
        <v>10</v>
      </c>
      <c r="K19" s="75">
        <f t="shared" si="2"/>
        <v>10</v>
      </c>
      <c r="M19" s="69">
        <f t="shared" si="3"/>
        <v>0</v>
      </c>
      <c r="N19" s="75">
        <f t="shared" si="4"/>
        <v>0</v>
      </c>
      <c r="O19" s="69">
        <f t="shared" si="5"/>
        <v>0</v>
      </c>
      <c r="P19" s="75">
        <f t="shared" si="6"/>
        <v>0</v>
      </c>
      <c r="Q19" s="69">
        <f t="shared" si="7"/>
        <v>0</v>
      </c>
      <c r="R19" s="75">
        <f t="shared" si="8"/>
        <v>0</v>
      </c>
      <c r="S19" s="69">
        <f t="shared" si="9"/>
        <v>0</v>
      </c>
      <c r="T19" s="75">
        <f t="shared" si="10"/>
        <v>0</v>
      </c>
    </row>
    <row r="20" spans="1:20" x14ac:dyDescent="0.75">
      <c r="A20" t="s">
        <v>34</v>
      </c>
      <c r="B20" s="51">
        <f>Inputs!B30</f>
        <v>0.4</v>
      </c>
      <c r="C20" s="12" t="s">
        <v>99</v>
      </c>
      <c r="D20" s="69">
        <f t="shared" si="2"/>
        <v>0.4</v>
      </c>
      <c r="E20" s="75">
        <f t="shared" si="2"/>
        <v>0.4</v>
      </c>
      <c r="F20" s="69">
        <f t="shared" si="2"/>
        <v>0.4</v>
      </c>
      <c r="G20" s="75">
        <f t="shared" si="2"/>
        <v>0.4</v>
      </c>
      <c r="H20" s="69">
        <f t="shared" si="2"/>
        <v>0.4</v>
      </c>
      <c r="I20" s="75">
        <f t="shared" si="2"/>
        <v>0.4</v>
      </c>
      <c r="J20" s="69">
        <f t="shared" si="2"/>
        <v>0.4</v>
      </c>
      <c r="K20" s="75">
        <f t="shared" si="2"/>
        <v>0.4</v>
      </c>
      <c r="M20" s="69">
        <f t="shared" si="3"/>
        <v>0</v>
      </c>
      <c r="N20" s="75">
        <f t="shared" si="4"/>
        <v>0</v>
      </c>
      <c r="O20" s="69">
        <f t="shared" si="5"/>
        <v>0</v>
      </c>
      <c r="P20" s="75">
        <f t="shared" si="6"/>
        <v>0</v>
      </c>
      <c r="Q20" s="69">
        <f t="shared" si="7"/>
        <v>0</v>
      </c>
      <c r="R20" s="75">
        <f t="shared" si="8"/>
        <v>0</v>
      </c>
      <c r="S20" s="69">
        <f t="shared" si="9"/>
        <v>0</v>
      </c>
      <c r="T20" s="75">
        <f t="shared" si="10"/>
        <v>0</v>
      </c>
    </row>
    <row r="21" spans="1:20" x14ac:dyDescent="0.75">
      <c r="A21" t="s">
        <v>100</v>
      </c>
      <c r="B21" s="51">
        <f>Inputs!B31</f>
        <v>2.25</v>
      </c>
      <c r="C21" s="12" t="s">
        <v>99</v>
      </c>
      <c r="D21" s="69">
        <f t="shared" si="2"/>
        <v>2.25</v>
      </c>
      <c r="E21" s="75">
        <f t="shared" si="2"/>
        <v>2.25</v>
      </c>
      <c r="F21" s="69">
        <f t="shared" si="2"/>
        <v>2.25</v>
      </c>
      <c r="G21" s="75">
        <f t="shared" si="2"/>
        <v>2.25</v>
      </c>
      <c r="H21" s="69">
        <f t="shared" si="2"/>
        <v>2.25</v>
      </c>
      <c r="I21" s="75">
        <f t="shared" si="2"/>
        <v>2.25</v>
      </c>
      <c r="J21" s="69">
        <f t="shared" si="2"/>
        <v>2.25</v>
      </c>
      <c r="K21" s="75">
        <f t="shared" si="2"/>
        <v>2.25</v>
      </c>
      <c r="M21" s="69">
        <f t="shared" si="3"/>
        <v>0</v>
      </c>
      <c r="N21" s="75">
        <f t="shared" si="4"/>
        <v>0</v>
      </c>
      <c r="O21" s="69">
        <f t="shared" si="5"/>
        <v>0</v>
      </c>
      <c r="P21" s="75">
        <f t="shared" si="6"/>
        <v>0</v>
      </c>
      <c r="Q21" s="69">
        <f t="shared" si="7"/>
        <v>0</v>
      </c>
      <c r="R21" s="75">
        <f t="shared" si="8"/>
        <v>0</v>
      </c>
      <c r="S21" s="69">
        <f t="shared" si="9"/>
        <v>0</v>
      </c>
      <c r="T21" s="75">
        <f t="shared" si="10"/>
        <v>0</v>
      </c>
    </row>
    <row r="22" spans="1:20" x14ac:dyDescent="0.75">
      <c r="A22" t="s">
        <v>67</v>
      </c>
      <c r="B22" s="51">
        <f>Inputs!B32</f>
        <v>8</v>
      </c>
      <c r="C22" s="12" t="s">
        <v>80</v>
      </c>
      <c r="D22" s="69">
        <f t="shared" si="2"/>
        <v>8</v>
      </c>
      <c r="E22" s="75">
        <f t="shared" si="2"/>
        <v>8</v>
      </c>
      <c r="F22" s="69">
        <f t="shared" si="2"/>
        <v>8</v>
      </c>
      <c r="G22" s="75">
        <f t="shared" si="2"/>
        <v>8</v>
      </c>
      <c r="H22" s="69">
        <f t="shared" si="2"/>
        <v>8</v>
      </c>
      <c r="I22" s="75">
        <f t="shared" si="2"/>
        <v>8</v>
      </c>
      <c r="J22" s="69">
        <f t="shared" si="2"/>
        <v>8</v>
      </c>
      <c r="K22" s="75">
        <f t="shared" si="2"/>
        <v>8</v>
      </c>
      <c r="M22" s="69">
        <f t="shared" si="3"/>
        <v>0</v>
      </c>
      <c r="N22" s="75">
        <f t="shared" si="4"/>
        <v>0</v>
      </c>
      <c r="O22" s="69">
        <f t="shared" si="5"/>
        <v>0</v>
      </c>
      <c r="P22" s="75">
        <f t="shared" si="6"/>
        <v>0</v>
      </c>
      <c r="Q22" s="69">
        <f t="shared" si="7"/>
        <v>0</v>
      </c>
      <c r="R22" s="75">
        <f t="shared" si="8"/>
        <v>0</v>
      </c>
      <c r="S22" s="69">
        <f t="shared" si="9"/>
        <v>0</v>
      </c>
      <c r="T22" s="75">
        <f t="shared" si="10"/>
        <v>0</v>
      </c>
    </row>
    <row r="23" spans="1:20" x14ac:dyDescent="0.75">
      <c r="A23" t="s">
        <v>101</v>
      </c>
      <c r="B23" s="51">
        <f>Inputs!B33</f>
        <v>3</v>
      </c>
      <c r="C23" s="12" t="s">
        <v>80</v>
      </c>
      <c r="D23" s="69">
        <f t="shared" si="2"/>
        <v>3</v>
      </c>
      <c r="E23" s="75">
        <f t="shared" si="2"/>
        <v>3</v>
      </c>
      <c r="F23" s="69">
        <f t="shared" si="2"/>
        <v>3</v>
      </c>
      <c r="G23" s="75">
        <f t="shared" si="2"/>
        <v>3</v>
      </c>
      <c r="H23" s="69">
        <f t="shared" si="2"/>
        <v>3</v>
      </c>
      <c r="I23" s="75">
        <f t="shared" si="2"/>
        <v>3</v>
      </c>
      <c r="J23" s="69">
        <f t="shared" si="2"/>
        <v>3</v>
      </c>
      <c r="K23" s="75">
        <f t="shared" si="2"/>
        <v>3</v>
      </c>
      <c r="M23" s="69">
        <f t="shared" si="3"/>
        <v>0</v>
      </c>
      <c r="N23" s="75">
        <f t="shared" si="4"/>
        <v>0</v>
      </c>
      <c r="O23" s="69">
        <f t="shared" si="5"/>
        <v>0</v>
      </c>
      <c r="P23" s="75">
        <f t="shared" si="6"/>
        <v>0</v>
      </c>
      <c r="Q23" s="69">
        <f t="shared" si="7"/>
        <v>0</v>
      </c>
      <c r="R23" s="75">
        <f t="shared" si="8"/>
        <v>0</v>
      </c>
      <c r="S23" s="69">
        <f t="shared" si="9"/>
        <v>0</v>
      </c>
      <c r="T23" s="75">
        <f t="shared" si="10"/>
        <v>0</v>
      </c>
    </row>
    <row r="24" spans="1:20" x14ac:dyDescent="0.75">
      <c r="A24" s="30" t="s">
        <v>104</v>
      </c>
      <c r="B24" s="54">
        <f>Inputs!B40</f>
        <v>15</v>
      </c>
      <c r="C24" s="32" t="s">
        <v>105</v>
      </c>
      <c r="D24" s="69">
        <f t="shared" si="2"/>
        <v>15</v>
      </c>
      <c r="E24" s="75">
        <f t="shared" si="2"/>
        <v>15</v>
      </c>
      <c r="F24" s="69">
        <f t="shared" si="2"/>
        <v>15</v>
      </c>
      <c r="G24" s="75">
        <f t="shared" si="2"/>
        <v>15</v>
      </c>
      <c r="H24" s="69">
        <f t="shared" si="2"/>
        <v>15</v>
      </c>
      <c r="I24" s="75">
        <f t="shared" si="2"/>
        <v>15</v>
      </c>
      <c r="J24" s="69">
        <f t="shared" si="2"/>
        <v>15</v>
      </c>
      <c r="K24" s="75">
        <f t="shared" si="2"/>
        <v>15</v>
      </c>
      <c r="M24" s="69">
        <f t="shared" si="3"/>
        <v>0</v>
      </c>
      <c r="N24" s="75">
        <f t="shared" si="4"/>
        <v>0</v>
      </c>
      <c r="O24" s="69">
        <f t="shared" si="5"/>
        <v>0</v>
      </c>
      <c r="P24" s="75">
        <f t="shared" si="6"/>
        <v>0</v>
      </c>
      <c r="Q24" s="69">
        <f t="shared" si="7"/>
        <v>0</v>
      </c>
      <c r="R24" s="75">
        <f t="shared" si="8"/>
        <v>0</v>
      </c>
      <c r="S24" s="69">
        <f t="shared" si="9"/>
        <v>0</v>
      </c>
      <c r="T24" s="75">
        <f t="shared" si="10"/>
        <v>0</v>
      </c>
    </row>
    <row r="25" spans="1:20" x14ac:dyDescent="0.75">
      <c r="A25" s="30" t="s">
        <v>106</v>
      </c>
      <c r="B25" s="55">
        <f>Inputs!B41</f>
        <v>6.5000000000000002E-2</v>
      </c>
      <c r="C25" s="32" t="s">
        <v>52</v>
      </c>
      <c r="D25" s="69">
        <f t="shared" si="2"/>
        <v>6.5000000000000002E-2</v>
      </c>
      <c r="E25" s="75">
        <f t="shared" si="2"/>
        <v>6.5000000000000002E-2</v>
      </c>
      <c r="F25" s="69">
        <f t="shared" si="2"/>
        <v>6.5000000000000002E-2</v>
      </c>
      <c r="G25" s="75">
        <f t="shared" si="2"/>
        <v>6.5000000000000002E-2</v>
      </c>
      <c r="H25" s="69">
        <f t="shared" si="2"/>
        <v>6.5000000000000002E-2</v>
      </c>
      <c r="I25" s="75">
        <f t="shared" si="2"/>
        <v>6.5000000000000002E-2</v>
      </c>
      <c r="J25" s="69">
        <f t="shared" si="2"/>
        <v>6.5000000000000002E-2</v>
      </c>
      <c r="K25" s="75">
        <f t="shared" si="2"/>
        <v>6.5000000000000002E-2</v>
      </c>
      <c r="M25" s="69">
        <f t="shared" si="3"/>
        <v>0</v>
      </c>
      <c r="N25" s="75">
        <f t="shared" si="4"/>
        <v>0</v>
      </c>
      <c r="O25" s="69">
        <f t="shared" si="5"/>
        <v>0</v>
      </c>
      <c r="P25" s="75">
        <f t="shared" si="6"/>
        <v>0</v>
      </c>
      <c r="Q25" s="69">
        <f t="shared" si="7"/>
        <v>0</v>
      </c>
      <c r="R25" s="75">
        <f t="shared" si="8"/>
        <v>0</v>
      </c>
      <c r="S25" s="69">
        <f t="shared" si="9"/>
        <v>0</v>
      </c>
      <c r="T25" s="75">
        <f t="shared" si="10"/>
        <v>0</v>
      </c>
    </row>
    <row r="26" spans="1:20" x14ac:dyDescent="0.75">
      <c r="A26" s="30" t="s">
        <v>110</v>
      </c>
      <c r="B26" s="56">
        <f>Inputs!B42</f>
        <v>115</v>
      </c>
      <c r="C26" s="30" t="s">
        <v>54</v>
      </c>
      <c r="D26" s="69">
        <f t="shared" si="2"/>
        <v>115</v>
      </c>
      <c r="E26" s="75">
        <f t="shared" si="2"/>
        <v>115</v>
      </c>
      <c r="F26" s="69">
        <f t="shared" si="2"/>
        <v>115</v>
      </c>
      <c r="G26" s="75">
        <f t="shared" si="2"/>
        <v>115</v>
      </c>
      <c r="H26" s="69">
        <f t="shared" si="2"/>
        <v>115</v>
      </c>
      <c r="I26" s="75">
        <f t="shared" si="2"/>
        <v>115</v>
      </c>
      <c r="J26" s="69">
        <f t="shared" si="2"/>
        <v>115</v>
      </c>
      <c r="K26" s="75">
        <f t="shared" si="2"/>
        <v>115</v>
      </c>
      <c r="M26" s="69">
        <f t="shared" si="3"/>
        <v>0</v>
      </c>
      <c r="N26" s="75">
        <f t="shared" si="4"/>
        <v>0</v>
      </c>
      <c r="O26" s="69">
        <f t="shared" si="5"/>
        <v>0</v>
      </c>
      <c r="P26" s="75">
        <f t="shared" si="6"/>
        <v>0</v>
      </c>
      <c r="Q26" s="69">
        <f t="shared" si="7"/>
        <v>0</v>
      </c>
      <c r="R26" s="75">
        <f t="shared" si="8"/>
        <v>0</v>
      </c>
      <c r="S26" s="69">
        <f t="shared" si="9"/>
        <v>0</v>
      </c>
      <c r="T26" s="75">
        <f t="shared" si="10"/>
        <v>0</v>
      </c>
    </row>
    <row r="27" spans="1:20" x14ac:dyDescent="0.75">
      <c r="A27" s="30" t="s">
        <v>107</v>
      </c>
      <c r="B27" s="54">
        <f>Inputs!B43</f>
        <v>230</v>
      </c>
      <c r="C27" s="32" t="s">
        <v>10</v>
      </c>
      <c r="D27" s="69">
        <f t="shared" si="2"/>
        <v>230</v>
      </c>
      <c r="E27" s="75">
        <f t="shared" si="2"/>
        <v>230</v>
      </c>
      <c r="F27" s="69">
        <f t="shared" si="2"/>
        <v>230</v>
      </c>
      <c r="G27" s="75">
        <f t="shared" si="2"/>
        <v>230</v>
      </c>
      <c r="H27" s="69">
        <f t="shared" si="2"/>
        <v>230</v>
      </c>
      <c r="I27" s="75">
        <f t="shared" si="2"/>
        <v>230</v>
      </c>
      <c r="J27" s="69">
        <f t="shared" si="2"/>
        <v>230</v>
      </c>
      <c r="K27" s="75">
        <f t="shared" si="2"/>
        <v>230</v>
      </c>
      <c r="M27" s="69">
        <f t="shared" si="3"/>
        <v>0</v>
      </c>
      <c r="N27" s="75">
        <f t="shared" si="4"/>
        <v>0</v>
      </c>
      <c r="O27" s="69">
        <f t="shared" si="5"/>
        <v>0</v>
      </c>
      <c r="P27" s="75">
        <f t="shared" si="6"/>
        <v>0</v>
      </c>
      <c r="Q27" s="69">
        <f t="shared" si="7"/>
        <v>0</v>
      </c>
      <c r="R27" s="75">
        <f t="shared" si="8"/>
        <v>0</v>
      </c>
      <c r="S27" s="69">
        <f t="shared" si="9"/>
        <v>0</v>
      </c>
      <c r="T27" s="75">
        <f t="shared" si="10"/>
        <v>0</v>
      </c>
    </row>
    <row r="28" spans="1:20" x14ac:dyDescent="0.75">
      <c r="A28" s="40" t="s">
        <v>114</v>
      </c>
      <c r="B28" s="57">
        <f>Inputs!B47</f>
        <v>10</v>
      </c>
      <c r="C28" s="32" t="s">
        <v>109</v>
      </c>
      <c r="D28" s="69">
        <f t="shared" si="2"/>
        <v>10</v>
      </c>
      <c r="E28" s="75">
        <f t="shared" si="2"/>
        <v>10</v>
      </c>
      <c r="F28" s="69">
        <f t="shared" si="2"/>
        <v>10</v>
      </c>
      <c r="G28" s="75">
        <f t="shared" si="2"/>
        <v>10</v>
      </c>
      <c r="H28" s="69">
        <f t="shared" si="2"/>
        <v>10</v>
      </c>
      <c r="I28" s="75">
        <f t="shared" si="2"/>
        <v>10</v>
      </c>
      <c r="J28" s="69">
        <f t="shared" si="2"/>
        <v>10</v>
      </c>
      <c r="K28" s="75">
        <f t="shared" si="2"/>
        <v>10</v>
      </c>
      <c r="M28" s="69">
        <f t="shared" si="3"/>
        <v>0</v>
      </c>
      <c r="N28" s="75">
        <f t="shared" si="4"/>
        <v>0</v>
      </c>
      <c r="O28" s="69">
        <f t="shared" si="5"/>
        <v>0</v>
      </c>
      <c r="P28" s="75">
        <f t="shared" si="6"/>
        <v>0</v>
      </c>
      <c r="Q28" s="69">
        <f t="shared" si="7"/>
        <v>0</v>
      </c>
      <c r="R28" s="75">
        <f t="shared" si="8"/>
        <v>0</v>
      </c>
      <c r="S28" s="69">
        <f t="shared" si="9"/>
        <v>0</v>
      </c>
      <c r="T28" s="75">
        <f t="shared" si="10"/>
        <v>0</v>
      </c>
    </row>
    <row r="29" spans="1:20" x14ac:dyDescent="0.75">
      <c r="A29" s="38" t="s">
        <v>111</v>
      </c>
      <c r="B29" s="55">
        <f>Inputs!B50</f>
        <v>0.75</v>
      </c>
      <c r="C29" s="39" t="s">
        <v>112</v>
      </c>
      <c r="D29" s="69">
        <f t="shared" si="2"/>
        <v>0.75</v>
      </c>
      <c r="E29" s="75">
        <f t="shared" si="2"/>
        <v>0.75</v>
      </c>
      <c r="F29" s="69">
        <f t="shared" si="2"/>
        <v>0.75</v>
      </c>
      <c r="G29" s="75">
        <f t="shared" si="2"/>
        <v>0.75</v>
      </c>
      <c r="H29" s="69">
        <f t="shared" si="2"/>
        <v>0.75</v>
      </c>
      <c r="I29" s="75">
        <f t="shared" si="2"/>
        <v>0.75</v>
      </c>
      <c r="J29" s="69">
        <f t="shared" si="2"/>
        <v>0.75</v>
      </c>
      <c r="K29" s="75">
        <f t="shared" si="2"/>
        <v>0.75</v>
      </c>
      <c r="M29" s="69">
        <f t="shared" si="3"/>
        <v>0</v>
      </c>
      <c r="N29" s="75">
        <f t="shared" si="4"/>
        <v>0</v>
      </c>
      <c r="O29" s="69">
        <f t="shared" si="5"/>
        <v>0</v>
      </c>
      <c r="P29" s="75">
        <f t="shared" si="6"/>
        <v>0</v>
      </c>
      <c r="Q29" s="69">
        <f t="shared" si="7"/>
        <v>0</v>
      </c>
      <c r="R29" s="75">
        <f t="shared" si="8"/>
        <v>0</v>
      </c>
      <c r="S29" s="69">
        <f t="shared" si="9"/>
        <v>0</v>
      </c>
      <c r="T29" s="75">
        <f t="shared" si="10"/>
        <v>0</v>
      </c>
    </row>
    <row r="30" spans="1:20" s="19" customFormat="1" x14ac:dyDescent="0.75">
      <c r="A30" s="40" t="s">
        <v>144</v>
      </c>
      <c r="B30" s="60"/>
      <c r="C30" s="59"/>
      <c r="D30" s="51"/>
      <c r="E30" s="51"/>
      <c r="F30" s="51"/>
      <c r="G30" s="51"/>
      <c r="H30" s="51"/>
      <c r="I30" s="51"/>
      <c r="J30" s="51"/>
      <c r="K30" s="51"/>
      <c r="M30" s="51"/>
      <c r="N30" s="51"/>
      <c r="O30" s="51"/>
      <c r="P30" s="51"/>
      <c r="Q30" s="51"/>
      <c r="R30" s="51"/>
      <c r="S30" s="51"/>
      <c r="T30" s="51"/>
    </row>
    <row r="31" spans="1:20" x14ac:dyDescent="0.75">
      <c r="A31" s="11">
        <f>Finishing!A4</f>
        <v>48</v>
      </c>
      <c r="B31" s="66">
        <f>Profit!B4</f>
        <v>2.4</v>
      </c>
      <c r="C31" s="59" t="s">
        <v>11</v>
      </c>
      <c r="D31" s="71">
        <f>$B31</f>
        <v>2.4</v>
      </c>
      <c r="E31" s="76">
        <f t="shared" ref="E31:K45" si="11">$B31</f>
        <v>2.4</v>
      </c>
      <c r="F31" s="71">
        <f t="shared" si="11"/>
        <v>2.4</v>
      </c>
      <c r="G31" s="76">
        <f t="shared" si="11"/>
        <v>2.4</v>
      </c>
      <c r="H31" s="71">
        <f t="shared" si="11"/>
        <v>2.4</v>
      </c>
      <c r="I31" s="76">
        <f t="shared" si="11"/>
        <v>2.4</v>
      </c>
      <c r="J31" s="71">
        <f t="shared" si="11"/>
        <v>2.4</v>
      </c>
      <c r="K31" s="76">
        <f t="shared" si="11"/>
        <v>2.4</v>
      </c>
      <c r="M31" s="69">
        <f t="shared" ref="M31:M45" si="12">(D31/$B31-1)*100</f>
        <v>0</v>
      </c>
      <c r="N31" s="75">
        <f t="shared" ref="N31:N45" si="13">(E31/$B31-1)*100</f>
        <v>0</v>
      </c>
      <c r="O31" s="69">
        <f t="shared" ref="O31:O45" si="14">(F31/$B31-1)*100</f>
        <v>0</v>
      </c>
      <c r="P31" s="75">
        <f t="shared" ref="P31:P45" si="15">(G31/$B31-1)*100</f>
        <v>0</v>
      </c>
      <c r="Q31" s="69">
        <f t="shared" ref="Q31:Q45" si="16">(H31/$B31-1)*100</f>
        <v>0</v>
      </c>
      <c r="R31" s="75">
        <f t="shared" ref="R31:R45" si="17">(I31/$B31-1)*100</f>
        <v>0</v>
      </c>
      <c r="S31" s="69">
        <f t="shared" ref="S31:S45" si="18">(J31/$B31-1)*100</f>
        <v>0</v>
      </c>
      <c r="T31" s="75">
        <f t="shared" ref="T31:T45" si="19">(K31/$B31-1)*100</f>
        <v>0</v>
      </c>
    </row>
    <row r="32" spans="1:20" x14ac:dyDescent="0.75">
      <c r="A32" s="11">
        <f>Finishing!A5</f>
        <v>58</v>
      </c>
      <c r="B32" s="66">
        <f>Profit!B5</f>
        <v>2.2999999999999998</v>
      </c>
      <c r="C32" s="59" t="s">
        <v>11</v>
      </c>
      <c r="D32" s="71">
        <f t="shared" ref="D32:D45" si="20">$B32</f>
        <v>2.2999999999999998</v>
      </c>
      <c r="E32" s="76">
        <f t="shared" si="11"/>
        <v>2.2999999999999998</v>
      </c>
      <c r="F32" s="71">
        <f t="shared" si="11"/>
        <v>2.2999999999999998</v>
      </c>
      <c r="G32" s="76">
        <f t="shared" si="11"/>
        <v>2.2999999999999998</v>
      </c>
      <c r="H32" s="71">
        <f t="shared" si="11"/>
        <v>2.2999999999999998</v>
      </c>
      <c r="I32" s="76">
        <f t="shared" si="11"/>
        <v>2.2999999999999998</v>
      </c>
      <c r="J32" s="71">
        <f t="shared" si="11"/>
        <v>2.2999999999999998</v>
      </c>
      <c r="K32" s="76">
        <f t="shared" si="11"/>
        <v>2.2999999999999998</v>
      </c>
      <c r="M32" s="69">
        <f t="shared" si="12"/>
        <v>0</v>
      </c>
      <c r="N32" s="75">
        <f t="shared" si="13"/>
        <v>0</v>
      </c>
      <c r="O32" s="69">
        <f t="shared" si="14"/>
        <v>0</v>
      </c>
      <c r="P32" s="75">
        <f t="shared" si="15"/>
        <v>0</v>
      </c>
      <c r="Q32" s="69">
        <f t="shared" si="16"/>
        <v>0</v>
      </c>
      <c r="R32" s="75">
        <f t="shared" si="17"/>
        <v>0</v>
      </c>
      <c r="S32" s="69">
        <f t="shared" si="18"/>
        <v>0</v>
      </c>
      <c r="T32" s="75">
        <f t="shared" si="19"/>
        <v>0</v>
      </c>
    </row>
    <row r="33" spans="1:20" x14ac:dyDescent="0.75">
      <c r="A33" s="11">
        <f>Finishing!A6</f>
        <v>68</v>
      </c>
      <c r="B33" s="66">
        <f>Profit!B6</f>
        <v>2.25</v>
      </c>
      <c r="C33" s="59" t="s">
        <v>11</v>
      </c>
      <c r="D33" s="71">
        <f t="shared" si="20"/>
        <v>2.25</v>
      </c>
      <c r="E33" s="76">
        <f t="shared" si="11"/>
        <v>2.25</v>
      </c>
      <c r="F33" s="71">
        <f t="shared" si="11"/>
        <v>2.25</v>
      </c>
      <c r="G33" s="76">
        <f t="shared" si="11"/>
        <v>2.25</v>
      </c>
      <c r="H33" s="71">
        <f t="shared" si="11"/>
        <v>2.25</v>
      </c>
      <c r="I33" s="76">
        <f t="shared" si="11"/>
        <v>2.25</v>
      </c>
      <c r="J33" s="71">
        <f t="shared" si="11"/>
        <v>2.25</v>
      </c>
      <c r="K33" s="76">
        <f t="shared" si="11"/>
        <v>2.25</v>
      </c>
      <c r="M33" s="69">
        <f t="shared" si="12"/>
        <v>0</v>
      </c>
      <c r="N33" s="75">
        <f t="shared" si="13"/>
        <v>0</v>
      </c>
      <c r="O33" s="69">
        <f t="shared" si="14"/>
        <v>0</v>
      </c>
      <c r="P33" s="75">
        <f t="shared" si="15"/>
        <v>0</v>
      </c>
      <c r="Q33" s="69">
        <f t="shared" si="16"/>
        <v>0</v>
      </c>
      <c r="R33" s="75">
        <f t="shared" si="17"/>
        <v>0</v>
      </c>
      <c r="S33" s="69">
        <f t="shared" si="18"/>
        <v>0</v>
      </c>
      <c r="T33" s="75">
        <f t="shared" si="19"/>
        <v>0</v>
      </c>
    </row>
    <row r="34" spans="1:20" x14ac:dyDescent="0.75">
      <c r="A34" s="11">
        <f>Finishing!A7</f>
        <v>78</v>
      </c>
      <c r="B34" s="66">
        <f>Profit!B7</f>
        <v>2.15</v>
      </c>
      <c r="C34" s="59" t="s">
        <v>11</v>
      </c>
      <c r="D34" s="71">
        <f t="shared" si="20"/>
        <v>2.15</v>
      </c>
      <c r="E34" s="76">
        <f t="shared" si="11"/>
        <v>2.15</v>
      </c>
      <c r="F34" s="71">
        <f t="shared" si="11"/>
        <v>2.15</v>
      </c>
      <c r="G34" s="76">
        <f t="shared" si="11"/>
        <v>2.15</v>
      </c>
      <c r="H34" s="71">
        <f t="shared" si="11"/>
        <v>2.15</v>
      </c>
      <c r="I34" s="76">
        <f t="shared" si="11"/>
        <v>2.15</v>
      </c>
      <c r="J34" s="71">
        <f t="shared" si="11"/>
        <v>2.15</v>
      </c>
      <c r="K34" s="76">
        <f t="shared" si="11"/>
        <v>2.15</v>
      </c>
      <c r="M34" s="69">
        <f t="shared" si="12"/>
        <v>0</v>
      </c>
      <c r="N34" s="75">
        <f t="shared" si="13"/>
        <v>0</v>
      </c>
      <c r="O34" s="69">
        <f t="shared" si="14"/>
        <v>0</v>
      </c>
      <c r="P34" s="75">
        <f t="shared" si="15"/>
        <v>0</v>
      </c>
      <c r="Q34" s="69">
        <f t="shared" si="16"/>
        <v>0</v>
      </c>
      <c r="R34" s="75">
        <f t="shared" si="17"/>
        <v>0</v>
      </c>
      <c r="S34" s="69">
        <f t="shared" si="18"/>
        <v>0</v>
      </c>
      <c r="T34" s="75">
        <f t="shared" si="19"/>
        <v>0</v>
      </c>
    </row>
    <row r="35" spans="1:20" x14ac:dyDescent="0.75">
      <c r="A35" s="11">
        <f>Finishing!A8</f>
        <v>88</v>
      </c>
      <c r="B35" s="66">
        <f>Profit!B8</f>
        <v>2.0499999999999998</v>
      </c>
      <c r="C35" s="59" t="s">
        <v>11</v>
      </c>
      <c r="D35" s="71">
        <f t="shared" si="20"/>
        <v>2.0499999999999998</v>
      </c>
      <c r="E35" s="76">
        <f t="shared" si="11"/>
        <v>2.0499999999999998</v>
      </c>
      <c r="F35" s="71">
        <f t="shared" si="11"/>
        <v>2.0499999999999998</v>
      </c>
      <c r="G35" s="76">
        <f t="shared" si="11"/>
        <v>2.0499999999999998</v>
      </c>
      <c r="H35" s="71">
        <f t="shared" si="11"/>
        <v>2.0499999999999998</v>
      </c>
      <c r="I35" s="76">
        <f t="shared" si="11"/>
        <v>2.0499999999999998</v>
      </c>
      <c r="J35" s="71">
        <f t="shared" si="11"/>
        <v>2.0499999999999998</v>
      </c>
      <c r="K35" s="76">
        <f t="shared" si="11"/>
        <v>2.0499999999999998</v>
      </c>
      <c r="M35" s="69">
        <f t="shared" si="12"/>
        <v>0</v>
      </c>
      <c r="N35" s="75">
        <f t="shared" si="13"/>
        <v>0</v>
      </c>
      <c r="O35" s="69">
        <f t="shared" si="14"/>
        <v>0</v>
      </c>
      <c r="P35" s="75">
        <f t="shared" si="15"/>
        <v>0</v>
      </c>
      <c r="Q35" s="69">
        <f t="shared" si="16"/>
        <v>0</v>
      </c>
      <c r="R35" s="75">
        <f t="shared" si="17"/>
        <v>0</v>
      </c>
      <c r="S35" s="69">
        <f t="shared" si="18"/>
        <v>0</v>
      </c>
      <c r="T35" s="75">
        <f t="shared" si="19"/>
        <v>0</v>
      </c>
    </row>
    <row r="36" spans="1:20" x14ac:dyDescent="0.75">
      <c r="A36" s="11">
        <f>Finishing!A9</f>
        <v>98</v>
      </c>
      <c r="B36" s="66">
        <f>Profit!B9</f>
        <v>1.95</v>
      </c>
      <c r="C36" s="59" t="s">
        <v>11</v>
      </c>
      <c r="D36" s="71">
        <f t="shared" si="20"/>
        <v>1.95</v>
      </c>
      <c r="E36" s="76">
        <f t="shared" si="11"/>
        <v>1.95</v>
      </c>
      <c r="F36" s="71">
        <f t="shared" si="11"/>
        <v>1.95</v>
      </c>
      <c r="G36" s="76">
        <f t="shared" si="11"/>
        <v>1.95</v>
      </c>
      <c r="H36" s="71">
        <f t="shared" si="11"/>
        <v>1.95</v>
      </c>
      <c r="I36" s="76">
        <f t="shared" si="11"/>
        <v>1.95</v>
      </c>
      <c r="J36" s="71">
        <f t="shared" si="11"/>
        <v>1.95</v>
      </c>
      <c r="K36" s="76">
        <f t="shared" si="11"/>
        <v>1.95</v>
      </c>
      <c r="M36" s="69">
        <f t="shared" si="12"/>
        <v>0</v>
      </c>
      <c r="N36" s="75">
        <f t="shared" si="13"/>
        <v>0</v>
      </c>
      <c r="O36" s="69">
        <f t="shared" si="14"/>
        <v>0</v>
      </c>
      <c r="P36" s="75">
        <f t="shared" si="15"/>
        <v>0</v>
      </c>
      <c r="Q36" s="69">
        <f t="shared" si="16"/>
        <v>0</v>
      </c>
      <c r="R36" s="75">
        <f t="shared" si="17"/>
        <v>0</v>
      </c>
      <c r="S36" s="69">
        <f t="shared" si="18"/>
        <v>0</v>
      </c>
      <c r="T36" s="75">
        <f t="shared" si="19"/>
        <v>0</v>
      </c>
    </row>
    <row r="37" spans="1:20" x14ac:dyDescent="0.75">
      <c r="A37" s="11">
        <f>Finishing!A10</f>
        <v>108</v>
      </c>
      <c r="B37" s="66">
        <f>Profit!B10</f>
        <v>1.85</v>
      </c>
      <c r="C37" s="59" t="s">
        <v>11</v>
      </c>
      <c r="D37" s="71">
        <f t="shared" si="20"/>
        <v>1.85</v>
      </c>
      <c r="E37" s="76">
        <f t="shared" si="11"/>
        <v>1.85</v>
      </c>
      <c r="F37" s="71">
        <f t="shared" si="11"/>
        <v>1.85</v>
      </c>
      <c r="G37" s="76">
        <f t="shared" si="11"/>
        <v>1.85</v>
      </c>
      <c r="H37" s="71">
        <f t="shared" si="11"/>
        <v>1.85</v>
      </c>
      <c r="I37" s="76">
        <f t="shared" si="11"/>
        <v>1.85</v>
      </c>
      <c r="J37" s="71">
        <f t="shared" si="11"/>
        <v>1.85</v>
      </c>
      <c r="K37" s="76">
        <f t="shared" si="11"/>
        <v>1.85</v>
      </c>
      <c r="M37" s="69">
        <f t="shared" si="12"/>
        <v>0</v>
      </c>
      <c r="N37" s="75">
        <f t="shared" si="13"/>
        <v>0</v>
      </c>
      <c r="O37" s="69">
        <f t="shared" si="14"/>
        <v>0</v>
      </c>
      <c r="P37" s="75">
        <f t="shared" si="15"/>
        <v>0</v>
      </c>
      <c r="Q37" s="69">
        <f t="shared" si="16"/>
        <v>0</v>
      </c>
      <c r="R37" s="75">
        <f t="shared" si="17"/>
        <v>0</v>
      </c>
      <c r="S37" s="69">
        <f t="shared" si="18"/>
        <v>0</v>
      </c>
      <c r="T37" s="75">
        <f t="shared" si="19"/>
        <v>0</v>
      </c>
    </row>
    <row r="38" spans="1:20" x14ac:dyDescent="0.75">
      <c r="A38" s="11">
        <f>Finishing!A11</f>
        <v>118</v>
      </c>
      <c r="B38" s="66">
        <f>Profit!B11</f>
        <v>1.68</v>
      </c>
      <c r="C38" s="59" t="s">
        <v>11</v>
      </c>
      <c r="D38" s="71">
        <f t="shared" si="20"/>
        <v>1.68</v>
      </c>
      <c r="E38" s="76">
        <f t="shared" si="11"/>
        <v>1.68</v>
      </c>
      <c r="F38" s="71">
        <f t="shared" si="11"/>
        <v>1.68</v>
      </c>
      <c r="G38" s="76">
        <f t="shared" si="11"/>
        <v>1.68</v>
      </c>
      <c r="H38" s="71">
        <f t="shared" si="11"/>
        <v>1.68</v>
      </c>
      <c r="I38" s="76">
        <f t="shared" si="11"/>
        <v>1.68</v>
      </c>
      <c r="J38" s="71">
        <f t="shared" si="11"/>
        <v>1.68</v>
      </c>
      <c r="K38" s="76">
        <f t="shared" si="11"/>
        <v>1.68</v>
      </c>
      <c r="M38" s="69">
        <f t="shared" si="12"/>
        <v>0</v>
      </c>
      <c r="N38" s="75">
        <f t="shared" si="13"/>
        <v>0</v>
      </c>
      <c r="O38" s="69">
        <f t="shared" si="14"/>
        <v>0</v>
      </c>
      <c r="P38" s="75">
        <f t="shared" si="15"/>
        <v>0</v>
      </c>
      <c r="Q38" s="69">
        <f t="shared" si="16"/>
        <v>0</v>
      </c>
      <c r="R38" s="75">
        <f t="shared" si="17"/>
        <v>0</v>
      </c>
      <c r="S38" s="69">
        <f t="shared" si="18"/>
        <v>0</v>
      </c>
      <c r="T38" s="75">
        <f t="shared" si="19"/>
        <v>0</v>
      </c>
    </row>
    <row r="39" spans="1:20" x14ac:dyDescent="0.75">
      <c r="A39" s="11">
        <f>Finishing!A12</f>
        <v>128</v>
      </c>
      <c r="B39" s="66">
        <f>Profit!B12</f>
        <v>1.65</v>
      </c>
      <c r="C39" s="59" t="s">
        <v>11</v>
      </c>
      <c r="D39" s="71">
        <f t="shared" si="20"/>
        <v>1.65</v>
      </c>
      <c r="E39" s="76">
        <f t="shared" si="11"/>
        <v>1.65</v>
      </c>
      <c r="F39" s="71">
        <f t="shared" si="11"/>
        <v>1.65</v>
      </c>
      <c r="G39" s="76">
        <f t="shared" si="11"/>
        <v>1.65</v>
      </c>
      <c r="H39" s="71">
        <f t="shared" si="11"/>
        <v>1.65</v>
      </c>
      <c r="I39" s="76">
        <f t="shared" si="11"/>
        <v>1.65</v>
      </c>
      <c r="J39" s="71">
        <f t="shared" si="11"/>
        <v>1.65</v>
      </c>
      <c r="K39" s="76">
        <f t="shared" si="11"/>
        <v>1.65</v>
      </c>
      <c r="M39" s="69">
        <f t="shared" si="12"/>
        <v>0</v>
      </c>
      <c r="N39" s="75">
        <f t="shared" si="13"/>
        <v>0</v>
      </c>
      <c r="O39" s="69">
        <f t="shared" si="14"/>
        <v>0</v>
      </c>
      <c r="P39" s="75">
        <f t="shared" si="15"/>
        <v>0</v>
      </c>
      <c r="Q39" s="69">
        <f t="shared" si="16"/>
        <v>0</v>
      </c>
      <c r="R39" s="75">
        <f t="shared" si="17"/>
        <v>0</v>
      </c>
      <c r="S39" s="69">
        <f t="shared" si="18"/>
        <v>0</v>
      </c>
      <c r="T39" s="75">
        <f t="shared" si="19"/>
        <v>0</v>
      </c>
    </row>
    <row r="40" spans="1:20" x14ac:dyDescent="0.75">
      <c r="A40" s="11">
        <f>Finishing!A13</f>
        <v>138</v>
      </c>
      <c r="B40" s="66">
        <f>Profit!B13</f>
        <v>1.6</v>
      </c>
      <c r="C40" s="59" t="s">
        <v>11</v>
      </c>
      <c r="D40" s="71">
        <f t="shared" si="20"/>
        <v>1.6</v>
      </c>
      <c r="E40" s="76">
        <f t="shared" si="11"/>
        <v>1.6</v>
      </c>
      <c r="F40" s="71">
        <f t="shared" si="11"/>
        <v>1.6</v>
      </c>
      <c r="G40" s="76">
        <f t="shared" si="11"/>
        <v>1.6</v>
      </c>
      <c r="H40" s="71">
        <f t="shared" si="11"/>
        <v>1.6</v>
      </c>
      <c r="I40" s="76">
        <f t="shared" si="11"/>
        <v>1.6</v>
      </c>
      <c r="J40" s="71">
        <f t="shared" si="11"/>
        <v>1.6</v>
      </c>
      <c r="K40" s="76">
        <f t="shared" si="11"/>
        <v>1.6</v>
      </c>
      <c r="M40" s="69">
        <f t="shared" si="12"/>
        <v>0</v>
      </c>
      <c r="N40" s="75">
        <f t="shared" si="13"/>
        <v>0</v>
      </c>
      <c r="O40" s="69">
        <f t="shared" si="14"/>
        <v>0</v>
      </c>
      <c r="P40" s="75">
        <f t="shared" si="15"/>
        <v>0</v>
      </c>
      <c r="Q40" s="69">
        <f t="shared" si="16"/>
        <v>0</v>
      </c>
      <c r="R40" s="75">
        <f t="shared" si="17"/>
        <v>0</v>
      </c>
      <c r="S40" s="69">
        <f t="shared" si="18"/>
        <v>0</v>
      </c>
      <c r="T40" s="75">
        <f t="shared" si="19"/>
        <v>0</v>
      </c>
    </row>
    <row r="41" spans="1:20" x14ac:dyDescent="0.75">
      <c r="A41" s="11">
        <f>Finishing!A14</f>
        <v>148</v>
      </c>
      <c r="B41" s="66">
        <f>Profit!B14</f>
        <v>1.55</v>
      </c>
      <c r="C41" s="59" t="s">
        <v>11</v>
      </c>
      <c r="D41" s="71">
        <f t="shared" si="20"/>
        <v>1.55</v>
      </c>
      <c r="E41" s="76">
        <f t="shared" si="11"/>
        <v>1.55</v>
      </c>
      <c r="F41" s="71">
        <f t="shared" si="11"/>
        <v>1.55</v>
      </c>
      <c r="G41" s="76">
        <f t="shared" si="11"/>
        <v>1.55</v>
      </c>
      <c r="H41" s="71">
        <f t="shared" si="11"/>
        <v>1.55</v>
      </c>
      <c r="I41" s="76">
        <f t="shared" si="11"/>
        <v>1.55</v>
      </c>
      <c r="J41" s="71">
        <f t="shared" si="11"/>
        <v>1.55</v>
      </c>
      <c r="K41" s="76">
        <f t="shared" si="11"/>
        <v>1.55</v>
      </c>
      <c r="M41" s="69">
        <f t="shared" si="12"/>
        <v>0</v>
      </c>
      <c r="N41" s="75">
        <f t="shared" si="13"/>
        <v>0</v>
      </c>
      <c r="O41" s="69">
        <f t="shared" si="14"/>
        <v>0</v>
      </c>
      <c r="P41" s="75">
        <f t="shared" si="15"/>
        <v>0</v>
      </c>
      <c r="Q41" s="69">
        <f t="shared" si="16"/>
        <v>0</v>
      </c>
      <c r="R41" s="75">
        <f t="shared" si="17"/>
        <v>0</v>
      </c>
      <c r="S41" s="69">
        <f t="shared" si="18"/>
        <v>0</v>
      </c>
      <c r="T41" s="75">
        <f t="shared" si="19"/>
        <v>0</v>
      </c>
    </row>
    <row r="42" spans="1:20" x14ac:dyDescent="0.75">
      <c r="A42" s="11">
        <f>Finishing!A15</f>
        <v>158</v>
      </c>
      <c r="B42" s="66">
        <f>Profit!B15</f>
        <v>1.4</v>
      </c>
      <c r="C42" s="59" t="s">
        <v>11</v>
      </c>
      <c r="D42" s="71">
        <f t="shared" si="20"/>
        <v>1.4</v>
      </c>
      <c r="E42" s="76">
        <f t="shared" si="11"/>
        <v>1.4</v>
      </c>
      <c r="F42" s="71">
        <f t="shared" si="11"/>
        <v>1.4</v>
      </c>
      <c r="G42" s="76">
        <f t="shared" si="11"/>
        <v>1.4</v>
      </c>
      <c r="H42" s="71">
        <f t="shared" si="11"/>
        <v>1.4</v>
      </c>
      <c r="I42" s="76">
        <f t="shared" si="11"/>
        <v>1.4</v>
      </c>
      <c r="J42" s="71">
        <f t="shared" si="11"/>
        <v>1.4</v>
      </c>
      <c r="K42" s="76">
        <f t="shared" si="11"/>
        <v>1.4</v>
      </c>
      <c r="M42" s="69">
        <f t="shared" si="12"/>
        <v>0</v>
      </c>
      <c r="N42" s="75">
        <f t="shared" si="13"/>
        <v>0</v>
      </c>
      <c r="O42" s="69">
        <f t="shared" si="14"/>
        <v>0</v>
      </c>
      <c r="P42" s="75">
        <f t="shared" si="15"/>
        <v>0</v>
      </c>
      <c r="Q42" s="69">
        <f t="shared" si="16"/>
        <v>0</v>
      </c>
      <c r="R42" s="75">
        <f t="shared" si="17"/>
        <v>0</v>
      </c>
      <c r="S42" s="69">
        <f t="shared" si="18"/>
        <v>0</v>
      </c>
      <c r="T42" s="75">
        <f t="shared" si="19"/>
        <v>0</v>
      </c>
    </row>
    <row r="43" spans="1:20" x14ac:dyDescent="0.75">
      <c r="A43" s="11">
        <f>Finishing!A16</f>
        <v>168</v>
      </c>
      <c r="B43" s="66">
        <f>Profit!B16</f>
        <v>1.3</v>
      </c>
      <c r="C43" s="59" t="s">
        <v>11</v>
      </c>
      <c r="D43" s="71">
        <f t="shared" si="20"/>
        <v>1.3</v>
      </c>
      <c r="E43" s="76">
        <f t="shared" si="11"/>
        <v>1.3</v>
      </c>
      <c r="F43" s="71">
        <f t="shared" si="11"/>
        <v>1.3</v>
      </c>
      <c r="G43" s="76">
        <f t="shared" si="11"/>
        <v>1.3</v>
      </c>
      <c r="H43" s="71">
        <f t="shared" si="11"/>
        <v>1.3</v>
      </c>
      <c r="I43" s="76">
        <f t="shared" si="11"/>
        <v>1.3</v>
      </c>
      <c r="J43" s="71">
        <f t="shared" si="11"/>
        <v>1.3</v>
      </c>
      <c r="K43" s="76">
        <f t="shared" si="11"/>
        <v>1.3</v>
      </c>
      <c r="M43" s="69">
        <f t="shared" si="12"/>
        <v>0</v>
      </c>
      <c r="N43" s="75">
        <f t="shared" si="13"/>
        <v>0</v>
      </c>
      <c r="O43" s="69">
        <f t="shared" si="14"/>
        <v>0</v>
      </c>
      <c r="P43" s="75">
        <f t="shared" si="15"/>
        <v>0</v>
      </c>
      <c r="Q43" s="69">
        <f t="shared" si="16"/>
        <v>0</v>
      </c>
      <c r="R43" s="75">
        <f t="shared" si="17"/>
        <v>0</v>
      </c>
      <c r="S43" s="69">
        <f t="shared" si="18"/>
        <v>0</v>
      </c>
      <c r="T43" s="75">
        <f t="shared" si="19"/>
        <v>0</v>
      </c>
    </row>
    <row r="44" spans="1:20" x14ac:dyDescent="0.75">
      <c r="A44" s="11">
        <f>Finishing!A17</f>
        <v>178</v>
      </c>
      <c r="B44" s="66">
        <f>Profit!B17</f>
        <v>0</v>
      </c>
      <c r="C44" s="59" t="s">
        <v>11</v>
      </c>
      <c r="D44" s="71">
        <f t="shared" si="20"/>
        <v>0</v>
      </c>
      <c r="E44" s="76">
        <f t="shared" si="11"/>
        <v>0</v>
      </c>
      <c r="F44" s="71">
        <f t="shared" si="11"/>
        <v>0</v>
      </c>
      <c r="G44" s="76">
        <f t="shared" si="11"/>
        <v>0</v>
      </c>
      <c r="H44" s="71">
        <f t="shared" si="11"/>
        <v>0</v>
      </c>
      <c r="I44" s="76">
        <f t="shared" si="11"/>
        <v>0</v>
      </c>
      <c r="J44" s="71">
        <f t="shared" si="11"/>
        <v>0</v>
      </c>
      <c r="K44" s="76">
        <f t="shared" si="11"/>
        <v>0</v>
      </c>
      <c r="M44" s="69" t="e">
        <f t="shared" si="12"/>
        <v>#DIV/0!</v>
      </c>
      <c r="N44" s="75" t="e">
        <f t="shared" si="13"/>
        <v>#DIV/0!</v>
      </c>
      <c r="O44" s="69" t="e">
        <f t="shared" si="14"/>
        <v>#DIV/0!</v>
      </c>
      <c r="P44" s="75" t="e">
        <f t="shared" si="15"/>
        <v>#DIV/0!</v>
      </c>
      <c r="Q44" s="69" t="e">
        <f t="shared" si="16"/>
        <v>#DIV/0!</v>
      </c>
      <c r="R44" s="75" t="e">
        <f t="shared" si="17"/>
        <v>#DIV/0!</v>
      </c>
      <c r="S44" s="69" t="e">
        <f t="shared" si="18"/>
        <v>#DIV/0!</v>
      </c>
      <c r="T44" s="75" t="e">
        <f t="shared" si="19"/>
        <v>#DIV/0!</v>
      </c>
    </row>
    <row r="45" spans="1:20" x14ac:dyDescent="0.75">
      <c r="A45" s="11">
        <f>Finishing!A18</f>
        <v>188</v>
      </c>
      <c r="B45" s="66">
        <f>Profit!B18</f>
        <v>0</v>
      </c>
      <c r="C45" s="59" t="s">
        <v>11</v>
      </c>
      <c r="D45" s="71">
        <f t="shared" si="20"/>
        <v>0</v>
      </c>
      <c r="E45" s="76">
        <f t="shared" si="11"/>
        <v>0</v>
      </c>
      <c r="F45" s="71">
        <f t="shared" si="11"/>
        <v>0</v>
      </c>
      <c r="G45" s="76">
        <f t="shared" si="11"/>
        <v>0</v>
      </c>
      <c r="H45" s="71">
        <f t="shared" si="11"/>
        <v>0</v>
      </c>
      <c r="I45" s="76">
        <f t="shared" si="11"/>
        <v>0</v>
      </c>
      <c r="J45" s="71">
        <f t="shared" si="11"/>
        <v>0</v>
      </c>
      <c r="K45" s="76">
        <f t="shared" si="11"/>
        <v>0</v>
      </c>
      <c r="M45" s="69" t="e">
        <f t="shared" si="12"/>
        <v>#DIV/0!</v>
      </c>
      <c r="N45" s="75" t="e">
        <f t="shared" si="13"/>
        <v>#DIV/0!</v>
      </c>
      <c r="O45" s="69" t="e">
        <f t="shared" si="14"/>
        <v>#DIV/0!</v>
      </c>
      <c r="P45" s="75" t="e">
        <f t="shared" si="15"/>
        <v>#DIV/0!</v>
      </c>
      <c r="Q45" s="69" t="e">
        <f t="shared" si="16"/>
        <v>#DIV/0!</v>
      </c>
      <c r="R45" s="75" t="e">
        <f t="shared" si="17"/>
        <v>#DIV/0!</v>
      </c>
      <c r="S45" s="69" t="e">
        <f t="shared" si="18"/>
        <v>#DIV/0!</v>
      </c>
      <c r="T45" s="75" t="e">
        <f t="shared" si="19"/>
        <v>#DIV/0!</v>
      </c>
    </row>
    <row r="47" spans="1:20" x14ac:dyDescent="0.75">
      <c r="A47" s="3"/>
      <c r="B47" s="52" t="s">
        <v>135</v>
      </c>
      <c r="D47" s="52" t="s">
        <v>136</v>
      </c>
      <c r="E47" s="52" t="s">
        <v>137</v>
      </c>
      <c r="F47" s="52" t="s">
        <v>138</v>
      </c>
      <c r="G47" s="52" t="s">
        <v>139</v>
      </c>
      <c r="H47" s="52" t="s">
        <v>140</v>
      </c>
      <c r="I47" s="52" t="s">
        <v>141</v>
      </c>
      <c r="J47" s="52" t="s">
        <v>142</v>
      </c>
      <c r="K47" s="52" t="s">
        <v>143</v>
      </c>
    </row>
    <row r="48" spans="1:20" x14ac:dyDescent="0.75">
      <c r="A48" s="3" t="s">
        <v>0</v>
      </c>
      <c r="B48" s="51" t="s">
        <v>90</v>
      </c>
      <c r="D48" s="51" t="s">
        <v>90</v>
      </c>
      <c r="E48" s="51" t="s">
        <v>90</v>
      </c>
      <c r="F48" s="51" t="s">
        <v>90</v>
      </c>
      <c r="G48" s="51" t="s">
        <v>90</v>
      </c>
      <c r="H48" s="51" t="s">
        <v>90</v>
      </c>
      <c r="I48" s="51" t="s">
        <v>90</v>
      </c>
      <c r="J48" s="51" t="s">
        <v>90</v>
      </c>
      <c r="K48" s="51" t="s">
        <v>90</v>
      </c>
    </row>
    <row r="49" spans="1:11" x14ac:dyDescent="0.75">
      <c r="A49" s="3" t="s">
        <v>134</v>
      </c>
      <c r="B49" s="51" t="s">
        <v>23</v>
      </c>
      <c r="C49" t="s">
        <v>23</v>
      </c>
      <c r="D49" s="51" t="s">
        <v>23</v>
      </c>
      <c r="E49" s="51" t="s">
        <v>23</v>
      </c>
      <c r="F49" s="51" t="s">
        <v>23</v>
      </c>
      <c r="G49" s="51" t="s">
        <v>23</v>
      </c>
      <c r="H49" s="51" t="s">
        <v>23</v>
      </c>
      <c r="I49" s="51" t="s">
        <v>23</v>
      </c>
      <c r="J49" s="51" t="s">
        <v>23</v>
      </c>
      <c r="K49" s="51" t="s">
        <v>23</v>
      </c>
    </row>
    <row r="50" spans="1:11" x14ac:dyDescent="0.75">
      <c r="A50" s="11">
        <f>Profit!A4</f>
        <v>48</v>
      </c>
      <c r="B50" s="53">
        <f>Profit!C4</f>
        <v>20.693848396157637</v>
      </c>
      <c r="C50" t="s">
        <v>23</v>
      </c>
      <c r="D50" s="53">
        <f>Comparison_calc!C75</f>
        <v>20.693848396157637</v>
      </c>
      <c r="E50" s="53">
        <f>Comparison_calc!C175</f>
        <v>20.693848396157637</v>
      </c>
      <c r="F50" s="53">
        <f>Comparison_calc!C275</f>
        <v>20.693848396157637</v>
      </c>
      <c r="G50" s="53">
        <f>Comparison_calc!C375</f>
        <v>20.693848396157637</v>
      </c>
      <c r="H50" s="53">
        <f>Comparison_calc!C475</f>
        <v>20.693848396157637</v>
      </c>
      <c r="I50" s="53">
        <f>Comparison_calc!C575</f>
        <v>20.693848396157637</v>
      </c>
      <c r="J50" s="53">
        <f>Comparison_calc!C675</f>
        <v>20.693848396157637</v>
      </c>
      <c r="K50" s="53">
        <f>Comparison_calc!C775</f>
        <v>20.693848396157637</v>
      </c>
    </row>
    <row r="51" spans="1:11" x14ac:dyDescent="0.75">
      <c r="A51" s="11">
        <f>Profit!A5</f>
        <v>58</v>
      </c>
      <c r="B51" s="53">
        <f>Profit!C5</f>
        <v>32.917389269106529</v>
      </c>
      <c r="C51" t="s">
        <v>23</v>
      </c>
      <c r="D51" s="53">
        <f>Comparison_calc!C76</f>
        <v>32.917389269106529</v>
      </c>
      <c r="E51" s="53">
        <f>Comparison_calc!C176</f>
        <v>32.917389269106529</v>
      </c>
      <c r="F51" s="53">
        <f>Comparison_calc!C276</f>
        <v>32.917389269106529</v>
      </c>
      <c r="G51" s="53">
        <f>Comparison_calc!C376</f>
        <v>32.917389269106529</v>
      </c>
      <c r="H51" s="53">
        <f>Comparison_calc!C476</f>
        <v>32.917389269106529</v>
      </c>
      <c r="I51" s="53">
        <f>Comparison_calc!C576</f>
        <v>32.917389269106529</v>
      </c>
      <c r="J51" s="53">
        <f>Comparison_calc!C676</f>
        <v>32.917389269106529</v>
      </c>
      <c r="K51" s="53">
        <f>Comparison_calc!C776</f>
        <v>32.917389269106529</v>
      </c>
    </row>
    <row r="52" spans="1:11" x14ac:dyDescent="0.75">
      <c r="A52" s="11">
        <f>Profit!A6</f>
        <v>68</v>
      </c>
      <c r="B52" s="53">
        <f>Profit!C6</f>
        <v>44.100341642598401</v>
      </c>
      <c r="C52" t="s">
        <v>23</v>
      </c>
      <c r="D52" s="53">
        <f>Comparison_calc!C77</f>
        <v>45.407349669705269</v>
      </c>
      <c r="E52" s="53">
        <f>Comparison_calc!C177</f>
        <v>45.407349669705269</v>
      </c>
      <c r="F52" s="53">
        <f>Comparison_calc!C277</f>
        <v>45.407349669705269</v>
      </c>
      <c r="G52" s="53">
        <f>Comparison_calc!C377</f>
        <v>45.407349669705269</v>
      </c>
      <c r="H52" s="53">
        <f>Comparison_calc!C477</f>
        <v>45.407349669705269</v>
      </c>
      <c r="I52" s="53">
        <f>Comparison_calc!C577</f>
        <v>45.407349669705269</v>
      </c>
      <c r="J52" s="53">
        <f>Comparison_calc!C677</f>
        <v>45.407349669705269</v>
      </c>
      <c r="K52" s="53">
        <f>Comparison_calc!C777</f>
        <v>45.407349669705269</v>
      </c>
    </row>
    <row r="53" spans="1:11" x14ac:dyDescent="0.75">
      <c r="A53" s="11">
        <f>Profit!A7</f>
        <v>78</v>
      </c>
      <c r="B53" s="53">
        <f>Profit!C7</f>
        <v>51.531187048074656</v>
      </c>
      <c r="C53" t="s">
        <v>23</v>
      </c>
      <c r="D53" s="53">
        <f>Comparison_calc!C78</f>
        <v>52.91036321518159</v>
      </c>
      <c r="E53" s="53">
        <f>Comparison_calc!C178</f>
        <v>52.91036321518159</v>
      </c>
      <c r="F53" s="53">
        <f>Comparison_calc!C278</f>
        <v>52.91036321518159</v>
      </c>
      <c r="G53" s="53">
        <f>Comparison_calc!C378</f>
        <v>52.91036321518159</v>
      </c>
      <c r="H53" s="53">
        <f>Comparison_calc!C478</f>
        <v>52.91036321518159</v>
      </c>
      <c r="I53" s="53">
        <f>Comparison_calc!C578</f>
        <v>52.91036321518159</v>
      </c>
      <c r="J53" s="53">
        <f>Comparison_calc!C678</f>
        <v>52.91036321518159</v>
      </c>
      <c r="K53" s="53">
        <f>Comparison_calc!C778</f>
        <v>52.91036321518159</v>
      </c>
    </row>
    <row r="54" spans="1:11" x14ac:dyDescent="0.75">
      <c r="A54" s="11">
        <f>Profit!A8</f>
        <v>88</v>
      </c>
      <c r="B54" s="53">
        <f>Profit!C8</f>
        <v>57.402960205747</v>
      </c>
      <c r="C54" t="s">
        <v>23</v>
      </c>
      <c r="D54" s="53">
        <f>Comparison_calc!C79</f>
        <v>58.866022995088684</v>
      </c>
      <c r="E54" s="53">
        <f>Comparison_calc!C179</f>
        <v>58.866022995088684</v>
      </c>
      <c r="F54" s="53">
        <f>Comparison_calc!C279</f>
        <v>58.866022995088684</v>
      </c>
      <c r="G54" s="53">
        <f>Comparison_calc!C379</f>
        <v>58.866022995088684</v>
      </c>
      <c r="H54" s="53">
        <f>Comparison_calc!C479</f>
        <v>58.866022995088684</v>
      </c>
      <c r="I54" s="53">
        <f>Comparison_calc!C579</f>
        <v>58.866022995088684</v>
      </c>
      <c r="J54" s="53">
        <f>Comparison_calc!C679</f>
        <v>58.866022995088684</v>
      </c>
      <c r="K54" s="53">
        <f>Comparison_calc!C779</f>
        <v>58.866022995088684</v>
      </c>
    </row>
    <row r="55" spans="1:11" x14ac:dyDescent="0.75">
      <c r="A55" s="11">
        <f>Profit!A9</f>
        <v>98</v>
      </c>
      <c r="B55" s="53">
        <f>Profit!C9</f>
        <v>59.297594992601852</v>
      </c>
      <c r="C55" t="s">
        <v>23</v>
      </c>
      <c r="D55" s="53">
        <f>Comparison_calc!C80</f>
        <v>60.854602941332544</v>
      </c>
      <c r="E55" s="53">
        <f>Comparison_calc!C180</f>
        <v>60.854602941332544</v>
      </c>
      <c r="F55" s="53">
        <f>Comparison_calc!C280</f>
        <v>60.854602941332544</v>
      </c>
      <c r="G55" s="53">
        <f>Comparison_calc!C380</f>
        <v>60.854602941332544</v>
      </c>
      <c r="H55" s="53">
        <f>Comparison_calc!C480</f>
        <v>60.854602941332544</v>
      </c>
      <c r="I55" s="53">
        <f>Comparison_calc!C580</f>
        <v>60.854602941332544</v>
      </c>
      <c r="J55" s="53">
        <f>Comparison_calc!C680</f>
        <v>60.854602941332544</v>
      </c>
      <c r="K55" s="53">
        <f>Comparison_calc!C780</f>
        <v>60.854602941332544</v>
      </c>
    </row>
    <row r="56" spans="1:11" x14ac:dyDescent="0.75">
      <c r="A56" s="11">
        <f>Profit!A10</f>
        <v>108</v>
      </c>
      <c r="B56" s="53">
        <f>Profit!C10</f>
        <v>56.542789908120653</v>
      </c>
      <c r="C56" t="s">
        <v>23</v>
      </c>
      <c r="D56" s="53">
        <f>Comparison_calc!C81</f>
        <v>58.219531075644021</v>
      </c>
      <c r="E56" s="53">
        <f>Comparison_calc!C181</f>
        <v>58.219531075644021</v>
      </c>
      <c r="F56" s="53">
        <f>Comparison_calc!C281</f>
        <v>58.219531075644021</v>
      </c>
      <c r="G56" s="53">
        <f>Comparison_calc!C381</f>
        <v>58.219531075644021</v>
      </c>
      <c r="H56" s="53">
        <f>Comparison_calc!C481</f>
        <v>58.219531075644021</v>
      </c>
      <c r="I56" s="53">
        <f>Comparison_calc!C581</f>
        <v>58.219531075644021</v>
      </c>
      <c r="J56" s="53">
        <f>Comparison_calc!C681</f>
        <v>58.219531075644021</v>
      </c>
      <c r="K56" s="53">
        <f>Comparison_calc!C781</f>
        <v>58.219531075644021</v>
      </c>
    </row>
    <row r="57" spans="1:11" x14ac:dyDescent="0.75">
      <c r="A57" s="11">
        <f>Profit!A11</f>
        <v>118</v>
      </c>
      <c r="B57" s="53">
        <f>Profit!C11</f>
        <v>43.739168494103311</v>
      </c>
      <c r="C57" t="s">
        <v>23</v>
      </c>
      <c r="D57" s="53">
        <f>Comparison_calc!C82</f>
        <v>45.543455522732629</v>
      </c>
      <c r="E57" s="53">
        <f>Comparison_calc!C182</f>
        <v>45.543455522732629</v>
      </c>
      <c r="F57" s="53">
        <f>Comparison_calc!C282</f>
        <v>45.543455522732629</v>
      </c>
      <c r="G57" s="53">
        <f>Comparison_calc!C382</f>
        <v>45.543455522732629</v>
      </c>
      <c r="H57" s="53">
        <f>Comparison_calc!C482</f>
        <v>45.543455522732629</v>
      </c>
      <c r="I57" s="53">
        <f>Comparison_calc!C582</f>
        <v>45.543455522732629</v>
      </c>
      <c r="J57" s="53">
        <f>Comparison_calc!C682</f>
        <v>45.543455522732629</v>
      </c>
      <c r="K57" s="53">
        <f>Comparison_calc!C782</f>
        <v>45.543455522732629</v>
      </c>
    </row>
    <row r="58" spans="1:11" x14ac:dyDescent="0.75">
      <c r="A58" s="11">
        <f>Profit!A12</f>
        <v>128</v>
      </c>
      <c r="B58" s="53">
        <f>Profit!C12</f>
        <v>42.567947850136846</v>
      </c>
      <c r="C58" t="s">
        <v>23</v>
      </c>
      <c r="D58" s="53">
        <f>Comparison_calc!C83</f>
        <v>44.520469378217022</v>
      </c>
      <c r="E58" s="53">
        <f>Comparison_calc!C183</f>
        <v>44.520469378217022</v>
      </c>
      <c r="F58" s="53">
        <f>Comparison_calc!C283</f>
        <v>44.520469378217022</v>
      </c>
      <c r="G58" s="53">
        <f>Comparison_calc!C383</f>
        <v>44.520469378217022</v>
      </c>
      <c r="H58" s="53">
        <f>Comparison_calc!C483</f>
        <v>44.520469378217022</v>
      </c>
      <c r="I58" s="53">
        <f>Comparison_calc!C583</f>
        <v>44.520469378217022</v>
      </c>
      <c r="J58" s="53">
        <f>Comparison_calc!C683</f>
        <v>44.520469378217022</v>
      </c>
      <c r="K58" s="53">
        <f>Comparison_calc!C783</f>
        <v>44.520469378217022</v>
      </c>
    </row>
    <row r="59" spans="1:11" x14ac:dyDescent="0.75">
      <c r="A59" s="11">
        <f>Profit!A13</f>
        <v>138</v>
      </c>
      <c r="B59" s="53">
        <f>Profit!C13</f>
        <v>39.551012814497852</v>
      </c>
      <c r="C59" t="s">
        <v>23</v>
      </c>
      <c r="D59" s="53">
        <f>Comparison_calc!C84</f>
        <v>41.675525068218711</v>
      </c>
      <c r="E59" s="53">
        <f>Comparison_calc!C184</f>
        <v>41.675525068218711</v>
      </c>
      <c r="F59" s="53">
        <f>Comparison_calc!C284</f>
        <v>41.675525068218711</v>
      </c>
      <c r="G59" s="53">
        <f>Comparison_calc!C384</f>
        <v>41.675525068218711</v>
      </c>
      <c r="H59" s="53">
        <f>Comparison_calc!C484</f>
        <v>41.675525068218711</v>
      </c>
      <c r="I59" s="53">
        <f>Comparison_calc!C584</f>
        <v>41.675525068218711</v>
      </c>
      <c r="J59" s="53">
        <f>Comparison_calc!C684</f>
        <v>41.675525068218711</v>
      </c>
      <c r="K59" s="53">
        <f>Comparison_calc!C784</f>
        <v>41.675525068218711</v>
      </c>
    </row>
    <row r="60" spans="1:11" x14ac:dyDescent="0.75">
      <c r="A60" s="11">
        <f>Profit!A14</f>
        <v>148</v>
      </c>
      <c r="B60" s="53">
        <f>Profit!C14</f>
        <v>26.182477646771023</v>
      </c>
      <c r="C60" t="s">
        <v>23</v>
      </c>
      <c r="D60" s="53">
        <f>Comparison_calc!C85</f>
        <v>28.548442349530276</v>
      </c>
      <c r="E60" s="53">
        <f>Comparison_calc!C185</f>
        <v>28.548442349530276</v>
      </c>
      <c r="F60" s="53">
        <f>Comparison_calc!C285</f>
        <v>28.548442349530276</v>
      </c>
      <c r="G60" s="53">
        <f>Comparison_calc!C385</f>
        <v>28.548442349530276</v>
      </c>
      <c r="H60" s="53">
        <f>Comparison_calc!C485</f>
        <v>28.548442349530276</v>
      </c>
      <c r="I60" s="53">
        <f>Comparison_calc!C585</f>
        <v>28.548442349530276</v>
      </c>
      <c r="J60" s="53">
        <f>Comparison_calc!C685</f>
        <v>28.548442349530276</v>
      </c>
      <c r="K60" s="53">
        <f>Comparison_calc!C785</f>
        <v>28.548442349530276</v>
      </c>
    </row>
    <row r="61" spans="1:11" x14ac:dyDescent="0.75">
      <c r="A61" s="11">
        <f>Profit!A15</f>
        <v>158</v>
      </c>
      <c r="B61" s="53">
        <f>Profit!C15</f>
        <v>-2.2014362953805469</v>
      </c>
      <c r="C61" t="s">
        <v>23</v>
      </c>
      <c r="D61" s="53">
        <f>Comparison_calc!C86</f>
        <v>0.39622088344416273</v>
      </c>
      <c r="E61" s="53">
        <f>Comparison_calc!C186</f>
        <v>0.39622088344416273</v>
      </c>
      <c r="F61" s="53">
        <f>Comparison_calc!C286</f>
        <v>0.39622088344416273</v>
      </c>
      <c r="G61" s="53">
        <f>Comparison_calc!C386</f>
        <v>0.39622088344416273</v>
      </c>
      <c r="H61" s="53">
        <f>Comparison_calc!C486</f>
        <v>0.39622088344416273</v>
      </c>
      <c r="I61" s="53">
        <f>Comparison_calc!C586</f>
        <v>0.39622088344416273</v>
      </c>
      <c r="J61" s="53">
        <f>Comparison_calc!C686</f>
        <v>0.39622088344416273</v>
      </c>
      <c r="K61" s="53">
        <f>Comparison_calc!C786</f>
        <v>0.39622088344416273</v>
      </c>
    </row>
    <row r="62" spans="1:11" x14ac:dyDescent="0.75">
      <c r="A62" s="11">
        <f>Profit!A16</f>
        <v>168</v>
      </c>
      <c r="B62" s="53">
        <f>Profit!C16</f>
        <v>-28.260985122956342</v>
      </c>
      <c r="C62" t="s">
        <v>23</v>
      </c>
      <c r="D62" s="53">
        <f>Comparison_calc!C87</f>
        <v>-25.392747451458845</v>
      </c>
      <c r="E62" s="53">
        <f>Comparison_calc!C187</f>
        <v>-25.392747451458845</v>
      </c>
      <c r="F62" s="53">
        <f>Comparison_calc!C287</f>
        <v>-25.392747451458845</v>
      </c>
      <c r="G62" s="53">
        <f>Comparison_calc!C387</f>
        <v>-25.392747451458845</v>
      </c>
      <c r="H62" s="53">
        <f>Comparison_calc!C487</f>
        <v>-25.392747451458845</v>
      </c>
      <c r="I62" s="53">
        <f>Comparison_calc!C587</f>
        <v>-25.392747451458845</v>
      </c>
      <c r="J62" s="53">
        <f>Comparison_calc!C687</f>
        <v>-25.392747451458845</v>
      </c>
      <c r="K62" s="53">
        <f>Comparison_calc!C787</f>
        <v>-25.392747451458845</v>
      </c>
    </row>
    <row r="63" spans="1:11" x14ac:dyDescent="0.75">
      <c r="A63" s="11">
        <f>Profit!A17</f>
        <v>178</v>
      </c>
      <c r="B63" s="53" t="e">
        <f>Profit!C17</f>
        <v>#DIV/0!</v>
      </c>
      <c r="C63" t="s">
        <v>23</v>
      </c>
      <c r="D63" s="53" t="e">
        <f>Comparison_calc!C88</f>
        <v>#DIV/0!</v>
      </c>
      <c r="E63" s="53" t="e">
        <f>Comparison_calc!C188</f>
        <v>#DIV/0!</v>
      </c>
      <c r="F63" s="53" t="e">
        <f>Comparison_calc!C288</f>
        <v>#DIV/0!</v>
      </c>
      <c r="G63" s="53" t="e">
        <f>Comparison_calc!C388</f>
        <v>#DIV/0!</v>
      </c>
      <c r="H63" s="53" t="e">
        <f>Comparison_calc!C488</f>
        <v>#DIV/0!</v>
      </c>
      <c r="I63" s="53" t="e">
        <f>Comparison_calc!C588</f>
        <v>#DIV/0!</v>
      </c>
      <c r="J63" s="53" t="e">
        <f>Comparison_calc!C688</f>
        <v>#DIV/0!</v>
      </c>
      <c r="K63" s="53" t="e">
        <f>Comparison_calc!C788</f>
        <v>#DIV/0!</v>
      </c>
    </row>
    <row r="64" spans="1:11" x14ac:dyDescent="0.75">
      <c r="A64" s="11">
        <f>Profit!A18</f>
        <v>188</v>
      </c>
      <c r="B64" s="53" t="e">
        <f>Profit!C18</f>
        <v>#DIV/0!</v>
      </c>
      <c r="C64" t="s">
        <v>23</v>
      </c>
      <c r="D64" s="53" t="e">
        <f>Comparison_calc!C89</f>
        <v>#DIV/0!</v>
      </c>
      <c r="E64" s="53" t="e">
        <f>Comparison_calc!C189</f>
        <v>#DIV/0!</v>
      </c>
      <c r="F64" s="53" t="e">
        <f>Comparison_calc!C289</f>
        <v>#DIV/0!</v>
      </c>
      <c r="G64" s="53" t="e">
        <f>Comparison_calc!C389</f>
        <v>#DIV/0!</v>
      </c>
      <c r="H64" s="53" t="e">
        <f>Comparison_calc!C489</f>
        <v>#DIV/0!</v>
      </c>
      <c r="I64" s="53" t="e">
        <f>Comparison_calc!C589</f>
        <v>#DIV/0!</v>
      </c>
      <c r="J64" s="53" t="e">
        <f>Comparison_calc!C689</f>
        <v>#DIV/0!</v>
      </c>
      <c r="K64" s="53" t="e">
        <f>Comparison_calc!C789</f>
        <v>#DIV/0!</v>
      </c>
    </row>
    <row r="66" spans="1:11" x14ac:dyDescent="0.75">
      <c r="A66" s="3" t="s">
        <v>0</v>
      </c>
      <c r="B66" s="51" t="s">
        <v>90</v>
      </c>
      <c r="D66" s="70" t="s">
        <v>90</v>
      </c>
      <c r="E66" s="70" t="s">
        <v>90</v>
      </c>
      <c r="F66" s="70" t="s">
        <v>90</v>
      </c>
      <c r="G66" s="70" t="s">
        <v>90</v>
      </c>
      <c r="H66" s="70" t="s">
        <v>90</v>
      </c>
      <c r="I66" s="70" t="s">
        <v>90</v>
      </c>
      <c r="J66" s="70" t="s">
        <v>90</v>
      </c>
      <c r="K66" s="70" t="s">
        <v>90</v>
      </c>
    </row>
    <row r="67" spans="1:11" x14ac:dyDescent="0.75">
      <c r="A67" s="3" t="s">
        <v>134</v>
      </c>
      <c r="B67" s="51" t="s">
        <v>174</v>
      </c>
      <c r="D67" s="70" t="s">
        <v>174</v>
      </c>
      <c r="E67" s="70" t="s">
        <v>174</v>
      </c>
      <c r="F67" s="70" t="s">
        <v>174</v>
      </c>
      <c r="G67" s="70" t="s">
        <v>174</v>
      </c>
      <c r="H67" s="70" t="s">
        <v>174</v>
      </c>
      <c r="I67" s="70" t="s">
        <v>174</v>
      </c>
      <c r="J67" s="70" t="s">
        <v>174</v>
      </c>
      <c r="K67" s="70" t="s">
        <v>174</v>
      </c>
    </row>
    <row r="68" spans="1:11" x14ac:dyDescent="0.75">
      <c r="A68" s="11">
        <f>Profit!A4</f>
        <v>48</v>
      </c>
      <c r="B68" s="53">
        <f>Profit!D4</f>
        <v>31.811168119880836</v>
      </c>
      <c r="C68" t="s">
        <v>174</v>
      </c>
      <c r="D68" s="53">
        <f>Comparison_calc!D75</f>
        <v>31.811168119880836</v>
      </c>
      <c r="E68" s="53">
        <f>Comparison_calc!D175</f>
        <v>31.811168119880836</v>
      </c>
      <c r="F68" s="53">
        <f>Comparison_calc!D275</f>
        <v>31.811168119880836</v>
      </c>
      <c r="G68" s="53">
        <f>Comparison_calc!D375</f>
        <v>31.811168119880836</v>
      </c>
      <c r="H68" s="53">
        <f>Comparison_calc!D475</f>
        <v>31.811168119880836</v>
      </c>
      <c r="I68" s="53">
        <f>Comparison_calc!D575</f>
        <v>31.811168119880836</v>
      </c>
      <c r="J68" s="53">
        <f>Comparison_calc!D675</f>
        <v>31.811168119880836</v>
      </c>
      <c r="K68" s="53">
        <f>Comparison_calc!D775</f>
        <v>31.811168119880836</v>
      </c>
    </row>
    <row r="69" spans="1:11" x14ac:dyDescent="0.75">
      <c r="A69" s="11">
        <f>Profit!A5</f>
        <v>58</v>
      </c>
      <c r="B69" s="53">
        <f>Profit!D5</f>
        <v>50.449278920267211</v>
      </c>
      <c r="C69" t="s">
        <v>174</v>
      </c>
      <c r="D69" s="53">
        <f>Comparison_calc!D76</f>
        <v>50.449278920267211</v>
      </c>
      <c r="E69" s="53">
        <f>Comparison_calc!D176</f>
        <v>50.449278920267211</v>
      </c>
      <c r="F69" s="53">
        <f>Comparison_calc!D276</f>
        <v>50.449278920267211</v>
      </c>
      <c r="G69" s="53">
        <f>Comparison_calc!D376</f>
        <v>50.449278920267211</v>
      </c>
      <c r="H69" s="53">
        <f>Comparison_calc!D476</f>
        <v>50.449278920267211</v>
      </c>
      <c r="I69" s="53">
        <f>Comparison_calc!D576</f>
        <v>50.449278920267211</v>
      </c>
      <c r="J69" s="53">
        <f>Comparison_calc!D676</f>
        <v>50.449278920267211</v>
      </c>
      <c r="K69" s="53">
        <f>Comparison_calc!D776</f>
        <v>50.449278920267211</v>
      </c>
    </row>
    <row r="70" spans="1:11" x14ac:dyDescent="0.75">
      <c r="A70" s="11">
        <f>Profit!A6</f>
        <v>68</v>
      </c>
      <c r="B70" s="53">
        <f>Profit!D6</f>
        <v>66.636353756079799</v>
      </c>
      <c r="C70" t="s">
        <v>174</v>
      </c>
      <c r="D70" s="53">
        <f>Comparison_calc!D77</f>
        <v>69.451402679074505</v>
      </c>
      <c r="E70" s="53">
        <f>Comparison_calc!D177</f>
        <v>69.451402679074505</v>
      </c>
      <c r="F70" s="53">
        <f>Comparison_calc!D277</f>
        <v>69.451402679074505</v>
      </c>
      <c r="G70" s="53">
        <f>Comparison_calc!D377</f>
        <v>69.451402679074505</v>
      </c>
      <c r="H70" s="53">
        <f>Comparison_calc!D477</f>
        <v>69.451402679074505</v>
      </c>
      <c r="I70" s="53">
        <f>Comparison_calc!D577</f>
        <v>69.451402679074505</v>
      </c>
      <c r="J70" s="53">
        <f>Comparison_calc!D677</f>
        <v>69.451402679074505</v>
      </c>
      <c r="K70" s="53">
        <f>Comparison_calc!D777</f>
        <v>69.451402679074505</v>
      </c>
    </row>
    <row r="71" spans="1:11" x14ac:dyDescent="0.75">
      <c r="A71" s="11">
        <f>Profit!A7</f>
        <v>78</v>
      </c>
      <c r="B71" s="53">
        <f>Profit!D7</f>
        <v>77.705578324075816</v>
      </c>
      <c r="C71" t="s">
        <v>174</v>
      </c>
      <c r="D71" s="53">
        <f>Comparison_calc!D78</f>
        <v>80.764244136880876</v>
      </c>
      <c r="E71" s="53">
        <f>Comparison_calc!D178</f>
        <v>80.764244136880876</v>
      </c>
      <c r="F71" s="53">
        <f>Comparison_calc!D278</f>
        <v>80.764244136880876</v>
      </c>
      <c r="G71" s="53">
        <f>Comparison_calc!D378</f>
        <v>80.764244136880876</v>
      </c>
      <c r="H71" s="53">
        <f>Comparison_calc!D478</f>
        <v>80.764244136880876</v>
      </c>
      <c r="I71" s="53">
        <f>Comparison_calc!D578</f>
        <v>80.764244136880876</v>
      </c>
      <c r="J71" s="53">
        <f>Comparison_calc!D678</f>
        <v>80.764244136880876</v>
      </c>
      <c r="K71" s="53">
        <f>Comparison_calc!D778</f>
        <v>80.764244136880876</v>
      </c>
    </row>
    <row r="72" spans="1:11" x14ac:dyDescent="0.75">
      <c r="A72" s="11">
        <f>Profit!A8</f>
        <v>88</v>
      </c>
      <c r="B72" s="53">
        <f>Profit!D8</f>
        <v>86.427058474854519</v>
      </c>
      <c r="C72" t="s">
        <v>174</v>
      </c>
      <c r="D72" s="53">
        <f>Comparison_calc!D79</f>
        <v>89.719029031537417</v>
      </c>
      <c r="E72" s="53">
        <f>Comparison_calc!D179</f>
        <v>89.719029031537417</v>
      </c>
      <c r="F72" s="53">
        <f>Comparison_calc!D279</f>
        <v>89.719029031537417</v>
      </c>
      <c r="G72" s="53">
        <f>Comparison_calc!D379</f>
        <v>89.719029031537417</v>
      </c>
      <c r="H72" s="53">
        <f>Comparison_calc!D479</f>
        <v>89.719029031537417</v>
      </c>
      <c r="I72" s="53">
        <f>Comparison_calc!D579</f>
        <v>89.719029031537417</v>
      </c>
      <c r="J72" s="53">
        <f>Comparison_calc!D679</f>
        <v>89.719029031537417</v>
      </c>
      <c r="K72" s="53">
        <f>Comparison_calc!D779</f>
        <v>89.719029031537417</v>
      </c>
    </row>
    <row r="73" spans="1:11" x14ac:dyDescent="0.75">
      <c r="A73" s="11">
        <f>Profit!A9</f>
        <v>98</v>
      </c>
      <c r="B73" s="53">
        <f>Profit!D9</f>
        <v>89.142516615949035</v>
      </c>
      <c r="C73" t="s">
        <v>174</v>
      </c>
      <c r="D73" s="53">
        <f>Comparison_calc!D80</f>
        <v>92.609125082281153</v>
      </c>
      <c r="E73" s="53">
        <f>Comparison_calc!D180</f>
        <v>92.609125082281153</v>
      </c>
      <c r="F73" s="53">
        <f>Comparison_calc!D280</f>
        <v>92.609125082281153</v>
      </c>
      <c r="G73" s="53">
        <f>Comparison_calc!D380</f>
        <v>92.609125082281153</v>
      </c>
      <c r="H73" s="53">
        <f>Comparison_calc!D480</f>
        <v>92.609125082281153</v>
      </c>
      <c r="I73" s="53">
        <f>Comparison_calc!D580</f>
        <v>92.609125082281153</v>
      </c>
      <c r="J73" s="53">
        <f>Comparison_calc!D680</f>
        <v>92.609125082281153</v>
      </c>
      <c r="K73" s="53">
        <f>Comparison_calc!D780</f>
        <v>92.609125082281153</v>
      </c>
    </row>
    <row r="74" spans="1:11" x14ac:dyDescent="0.75">
      <c r="A74" s="11">
        <f>Profit!A10</f>
        <v>108</v>
      </c>
      <c r="B74" s="53">
        <f>Profit!D10</f>
        <v>84.870426522152883</v>
      </c>
      <c r="C74" t="s">
        <v>174</v>
      </c>
      <c r="D74" s="53">
        <f>Comparison_calc!D81</f>
        <v>88.464398147463413</v>
      </c>
      <c r="E74" s="53">
        <f>Comparison_calc!D181</f>
        <v>88.464398147463413</v>
      </c>
      <c r="F74" s="53">
        <f>Comparison_calc!D281</f>
        <v>88.464398147463413</v>
      </c>
      <c r="G74" s="53">
        <f>Comparison_calc!D381</f>
        <v>88.464398147463413</v>
      </c>
      <c r="H74" s="53">
        <f>Comparison_calc!D481</f>
        <v>88.464398147463413</v>
      </c>
      <c r="I74" s="53">
        <f>Comparison_calc!D581</f>
        <v>88.464398147463413</v>
      </c>
      <c r="J74" s="53">
        <f>Comparison_calc!D681</f>
        <v>88.464398147463413</v>
      </c>
      <c r="K74" s="53">
        <f>Comparison_calc!D781</f>
        <v>88.464398147463413</v>
      </c>
    </row>
    <row r="75" spans="1:11" x14ac:dyDescent="0.75">
      <c r="A75" s="11">
        <f>Profit!A11</f>
        <v>118</v>
      </c>
      <c r="B75" s="53">
        <f>Profit!D11</f>
        <v>65.55109986323221</v>
      </c>
      <c r="C75" t="s">
        <v>174</v>
      </c>
      <c r="D75" s="53">
        <f>Comparison_calc!D82</f>
        <v>69.097808363450582</v>
      </c>
      <c r="E75" s="53">
        <f>Comparison_calc!D182</f>
        <v>69.097808363450582</v>
      </c>
      <c r="F75" s="53">
        <f>Comparison_calc!D282</f>
        <v>69.097808363450582</v>
      </c>
      <c r="G75" s="53">
        <f>Comparison_calc!D382</f>
        <v>69.097808363450582</v>
      </c>
      <c r="H75" s="53">
        <f>Comparison_calc!D482</f>
        <v>69.097808363450582</v>
      </c>
      <c r="I75" s="53">
        <f>Comparison_calc!D582</f>
        <v>69.097808363450582</v>
      </c>
      <c r="J75" s="53">
        <f>Comparison_calc!D682</f>
        <v>69.097808363450582</v>
      </c>
      <c r="K75" s="53">
        <f>Comparison_calc!D782</f>
        <v>69.097808363450582</v>
      </c>
    </row>
    <row r="76" spans="1:11" x14ac:dyDescent="0.75">
      <c r="A76" s="11">
        <f>Profit!A12</f>
        <v>128</v>
      </c>
      <c r="B76" s="53">
        <f>Profit!D12</f>
        <v>63.697362362482743</v>
      </c>
      <c r="C76" t="s">
        <v>174</v>
      </c>
      <c r="D76" s="53">
        <f>Comparison_calc!D83</f>
        <v>67.442783928037272</v>
      </c>
      <c r="E76" s="53">
        <f>Comparison_calc!D183</f>
        <v>67.442783928037272</v>
      </c>
      <c r="F76" s="53">
        <f>Comparison_calc!D283</f>
        <v>67.442783928037272</v>
      </c>
      <c r="G76" s="53">
        <f>Comparison_calc!D383</f>
        <v>67.442783928037272</v>
      </c>
      <c r="H76" s="53">
        <f>Comparison_calc!D483</f>
        <v>67.442783928037272</v>
      </c>
      <c r="I76" s="53">
        <f>Comparison_calc!D583</f>
        <v>67.442783928037272</v>
      </c>
      <c r="J76" s="53">
        <f>Comparison_calc!D683</f>
        <v>67.442783928037272</v>
      </c>
      <c r="K76" s="53">
        <f>Comparison_calc!D783</f>
        <v>67.442783928037272</v>
      </c>
    </row>
    <row r="77" spans="1:11" x14ac:dyDescent="0.75">
      <c r="A77" s="11">
        <f>Profit!A13</f>
        <v>138</v>
      </c>
      <c r="B77" s="53">
        <f>Profit!D13</f>
        <v>59.091441140423854</v>
      </c>
      <c r="C77" t="s">
        <v>174</v>
      </c>
      <c r="D77" s="53">
        <f>Comparison_calc!D84</f>
        <v>63.036672926253132</v>
      </c>
      <c r="E77" s="53">
        <f>Comparison_calc!D184</f>
        <v>63.036672926253132</v>
      </c>
      <c r="F77" s="53">
        <f>Comparison_calc!D284</f>
        <v>63.036672926253132</v>
      </c>
      <c r="G77" s="53">
        <f>Comparison_calc!D384</f>
        <v>63.036672926253132</v>
      </c>
      <c r="H77" s="53">
        <f>Comparison_calc!D484</f>
        <v>63.036672926253132</v>
      </c>
      <c r="I77" s="53">
        <f>Comparison_calc!D584</f>
        <v>63.036672926253132</v>
      </c>
      <c r="J77" s="53">
        <f>Comparison_calc!D684</f>
        <v>63.036672926253132</v>
      </c>
      <c r="K77" s="53">
        <f>Comparison_calc!D784</f>
        <v>63.036672926253132</v>
      </c>
    </row>
    <row r="78" spans="1:11" x14ac:dyDescent="0.75">
      <c r="A78" s="11">
        <f>Profit!A14</f>
        <v>148</v>
      </c>
      <c r="B78" s="53">
        <f>Profit!D14</f>
        <v>39.057542191863568</v>
      </c>
      <c r="C78" t="s">
        <v>174</v>
      </c>
      <c r="D78" s="53">
        <f>Comparison_calc!D85</f>
        <v>43.115165072129749</v>
      </c>
      <c r="E78" s="53">
        <f>Comparison_calc!D185</f>
        <v>43.115165072129749</v>
      </c>
      <c r="F78" s="53">
        <f>Comparison_calc!D285</f>
        <v>43.115165072129749</v>
      </c>
      <c r="G78" s="53">
        <f>Comparison_calc!D385</f>
        <v>43.115165072129749</v>
      </c>
      <c r="H78" s="53">
        <f>Comparison_calc!D485</f>
        <v>43.115165072129749</v>
      </c>
      <c r="I78" s="53">
        <f>Comparison_calc!D585</f>
        <v>43.115165072129749</v>
      </c>
      <c r="J78" s="53">
        <f>Comparison_calc!D685</f>
        <v>43.115165072129749</v>
      </c>
      <c r="K78" s="53">
        <f>Comparison_calc!D785</f>
        <v>43.115165072129749</v>
      </c>
    </row>
    <row r="79" spans="1:11" x14ac:dyDescent="0.75">
      <c r="A79" s="11">
        <f>Profit!A15</f>
        <v>158</v>
      </c>
      <c r="B79" s="53">
        <f>Profit!D15</f>
        <v>-3.2788869582957441</v>
      </c>
      <c r="C79" t="s">
        <v>174</v>
      </c>
      <c r="D79" s="53">
        <f>Comparison_calc!D86</f>
        <v>0.59747455193262911</v>
      </c>
      <c r="E79" s="53">
        <f>Comparison_calc!D186</f>
        <v>0.59747455193262911</v>
      </c>
      <c r="F79" s="53">
        <f>Comparison_calc!D286</f>
        <v>0.59747455193262911</v>
      </c>
      <c r="G79" s="53">
        <f>Comparison_calc!D386</f>
        <v>0.59747455193262911</v>
      </c>
      <c r="H79" s="53">
        <f>Comparison_calc!D486</f>
        <v>0.59747455193262911</v>
      </c>
      <c r="I79" s="53">
        <f>Comparison_calc!D586</f>
        <v>0.59747455193262911</v>
      </c>
      <c r="J79" s="53">
        <f>Comparison_calc!D686</f>
        <v>0.59747455193262911</v>
      </c>
      <c r="K79" s="53">
        <f>Comparison_calc!D786</f>
        <v>0.59747455193262911</v>
      </c>
    </row>
    <row r="80" spans="1:11" x14ac:dyDescent="0.75">
      <c r="A80" s="11">
        <f>Profit!A16</f>
        <v>168</v>
      </c>
      <c r="B80" s="53">
        <f>Profit!D16</f>
        <v>-42.027419394296835</v>
      </c>
      <c r="C80" t="s">
        <v>174</v>
      </c>
      <c r="D80" s="53">
        <f>Comparison_calc!D87</f>
        <v>-38.231834402936038</v>
      </c>
      <c r="E80" s="53">
        <f>Comparison_calc!D187</f>
        <v>-38.231834402936038</v>
      </c>
      <c r="F80" s="53">
        <f>Comparison_calc!D287</f>
        <v>-38.231834402936038</v>
      </c>
      <c r="G80" s="53">
        <f>Comparison_calc!D387</f>
        <v>-38.231834402936038</v>
      </c>
      <c r="H80" s="53">
        <f>Comparison_calc!D487</f>
        <v>-38.231834402936038</v>
      </c>
      <c r="I80" s="53">
        <f>Comparison_calc!D587</f>
        <v>-38.231834402936038</v>
      </c>
      <c r="J80" s="53">
        <f>Comparison_calc!D687</f>
        <v>-38.231834402936038</v>
      </c>
      <c r="K80" s="53">
        <f>Comparison_calc!D787</f>
        <v>-38.231834402936038</v>
      </c>
    </row>
    <row r="81" spans="1:11" x14ac:dyDescent="0.75">
      <c r="A81" s="11">
        <f>Profit!A17</f>
        <v>178</v>
      </c>
      <c r="B81" s="53" t="e">
        <f>Profit!D17</f>
        <v>#DIV/0!</v>
      </c>
      <c r="C81" t="s">
        <v>174</v>
      </c>
      <c r="D81" s="53" t="e">
        <f>Comparison_calc!D88</f>
        <v>#DIV/0!</v>
      </c>
      <c r="E81" s="53" t="e">
        <f>Comparison_calc!D188</f>
        <v>#DIV/0!</v>
      </c>
      <c r="F81" s="53" t="e">
        <f>Comparison_calc!D288</f>
        <v>#DIV/0!</v>
      </c>
      <c r="G81" s="53" t="e">
        <f>Comparison_calc!D388</f>
        <v>#DIV/0!</v>
      </c>
      <c r="H81" s="53" t="e">
        <f>Comparison_calc!D488</f>
        <v>#DIV/0!</v>
      </c>
      <c r="I81" s="53" t="e">
        <f>Comparison_calc!D588</f>
        <v>#DIV/0!</v>
      </c>
      <c r="J81" s="53" t="e">
        <f>Comparison_calc!D688</f>
        <v>#DIV/0!</v>
      </c>
      <c r="K81" s="53" t="e">
        <f>Comparison_calc!D788</f>
        <v>#DIV/0!</v>
      </c>
    </row>
    <row r="82" spans="1:11" x14ac:dyDescent="0.75">
      <c r="A82" s="11">
        <f>Profit!A18</f>
        <v>188</v>
      </c>
      <c r="B82" s="53" t="e">
        <f>Profit!D18</f>
        <v>#DIV/0!</v>
      </c>
      <c r="C82" t="s">
        <v>174</v>
      </c>
      <c r="D82" s="53" t="e">
        <f>Comparison_calc!D89</f>
        <v>#DIV/0!</v>
      </c>
      <c r="E82" s="53" t="e">
        <f>Comparison_calc!D189</f>
        <v>#DIV/0!</v>
      </c>
      <c r="F82" s="53" t="e">
        <f>Comparison_calc!D289</f>
        <v>#DIV/0!</v>
      </c>
      <c r="G82" s="53" t="e">
        <f>Comparison_calc!D389</f>
        <v>#DIV/0!</v>
      </c>
      <c r="H82" s="53" t="e">
        <f>Comparison_calc!D489</f>
        <v>#DIV/0!</v>
      </c>
      <c r="I82" s="53" t="e">
        <f>Comparison_calc!D589</f>
        <v>#DIV/0!</v>
      </c>
      <c r="J82" s="53" t="e">
        <f>Comparison_calc!D689</f>
        <v>#DIV/0!</v>
      </c>
      <c r="K82" s="53" t="e">
        <f>Comparison_calc!D789</f>
        <v>#DIV/0!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S789"/>
  <sheetViews>
    <sheetView topLeftCell="B41" workbookViewId="0">
      <selection activeCell="S771" sqref="S771"/>
    </sheetView>
  </sheetViews>
  <sheetFormatPr defaultRowHeight="14.75" x14ac:dyDescent="0.75"/>
  <cols>
    <col min="1" max="1" width="38.54296875" customWidth="1"/>
    <col min="3" max="3" width="10.86328125" customWidth="1"/>
  </cols>
  <sheetData>
    <row r="1" spans="1:19" x14ac:dyDescent="0.75">
      <c r="A1" s="1" t="s">
        <v>49</v>
      </c>
      <c r="B1" s="3"/>
      <c r="C1" s="12"/>
      <c r="D1" s="3"/>
      <c r="E1" s="1" t="s">
        <v>172</v>
      </c>
      <c r="F1" s="4"/>
      <c r="G1" s="3"/>
      <c r="H1" s="5"/>
      <c r="I1" s="3"/>
      <c r="J1" s="3"/>
      <c r="K1" s="3"/>
      <c r="L1" s="3"/>
      <c r="M1" s="3"/>
      <c r="N1" s="3"/>
      <c r="O1" s="5"/>
      <c r="P1" s="3"/>
      <c r="Q1" s="5"/>
      <c r="R1" s="5"/>
      <c r="S1" s="5"/>
    </row>
    <row r="2" spans="1:19" x14ac:dyDescent="0.75">
      <c r="A2" t="s">
        <v>13</v>
      </c>
      <c r="B2" s="63">
        <f>Comparisons!D3</f>
        <v>48</v>
      </c>
      <c r="C2" s="12" t="s">
        <v>9</v>
      </c>
      <c r="D2" s="3"/>
      <c r="E2" s="1"/>
      <c r="F2" s="4"/>
      <c r="G2" s="3"/>
      <c r="H2" s="5"/>
      <c r="I2" s="3"/>
      <c r="J2" s="3"/>
      <c r="K2" s="3"/>
      <c r="L2" s="3"/>
      <c r="M2" s="3"/>
      <c r="N2" s="3"/>
      <c r="O2" s="5"/>
      <c r="P2" s="3"/>
      <c r="Q2" s="5"/>
      <c r="R2" s="5"/>
      <c r="S2" s="5"/>
    </row>
    <row r="3" spans="1:19" x14ac:dyDescent="0.75">
      <c r="A3" t="s">
        <v>14</v>
      </c>
      <c r="B3" s="63">
        <f>Comparisons!D4</f>
        <v>65</v>
      </c>
      <c r="C3" s="12" t="s">
        <v>10</v>
      </c>
      <c r="D3" s="3"/>
      <c r="E3" s="1"/>
      <c r="F3" s="4"/>
      <c r="G3" s="3"/>
      <c r="H3" s="5"/>
      <c r="I3" s="3"/>
      <c r="J3" s="3"/>
      <c r="K3" s="3"/>
      <c r="L3" s="3"/>
      <c r="M3" s="3"/>
      <c r="N3" s="3"/>
      <c r="O3" s="5"/>
      <c r="P3" s="3"/>
      <c r="Q3" s="5"/>
      <c r="R3" s="5"/>
      <c r="S3" s="5"/>
    </row>
    <row r="4" spans="1:19" x14ac:dyDescent="0.75">
      <c r="A4" t="s">
        <v>15</v>
      </c>
      <c r="B4" s="61">
        <f>Comparisons!D5</f>
        <v>0</v>
      </c>
      <c r="C4" s="12" t="s">
        <v>10</v>
      </c>
      <c r="D4" s="3"/>
      <c r="E4" s="1"/>
      <c r="F4" s="4"/>
      <c r="G4" s="3"/>
      <c r="H4" s="5"/>
      <c r="I4" s="3"/>
      <c r="J4" s="3"/>
      <c r="K4" s="3"/>
      <c r="L4" s="3"/>
      <c r="M4" s="3"/>
      <c r="N4" s="3"/>
      <c r="O4" s="5"/>
      <c r="P4" s="3"/>
      <c r="Q4" s="5"/>
      <c r="R4" s="5"/>
      <c r="S4" s="5"/>
    </row>
    <row r="5" spans="1:19" x14ac:dyDescent="0.75">
      <c r="A5" t="s">
        <v>16</v>
      </c>
      <c r="B5" s="61">
        <f>Comparisons!D6</f>
        <v>0.4</v>
      </c>
      <c r="C5" s="12" t="s">
        <v>53</v>
      </c>
      <c r="D5" s="3"/>
      <c r="E5" s="3"/>
      <c r="F5" s="4"/>
      <c r="G5" s="3"/>
      <c r="H5" s="5"/>
      <c r="I5" s="3"/>
      <c r="J5" s="3"/>
      <c r="K5" s="3"/>
      <c r="L5" s="3"/>
      <c r="M5" s="3"/>
      <c r="N5" s="3"/>
      <c r="O5" s="5"/>
      <c r="P5" s="3"/>
      <c r="Q5" s="5"/>
      <c r="R5" s="5"/>
      <c r="S5" s="5"/>
    </row>
    <row r="6" spans="1:19" x14ac:dyDescent="0.75">
      <c r="A6" t="s">
        <v>18</v>
      </c>
      <c r="B6" s="61">
        <f>Comparisons!D7</f>
        <v>0.15</v>
      </c>
      <c r="C6" s="12" t="s">
        <v>52</v>
      </c>
      <c r="D6" s="3"/>
      <c r="E6" s="3"/>
      <c r="F6" s="4"/>
      <c r="G6" s="3"/>
      <c r="H6" s="5"/>
      <c r="I6" s="3"/>
      <c r="J6" s="3"/>
      <c r="K6" s="3"/>
      <c r="L6" s="3"/>
      <c r="M6" s="3"/>
      <c r="N6" s="3"/>
      <c r="O6" s="5"/>
      <c r="P6" s="3"/>
      <c r="Q6" s="5"/>
      <c r="R6" s="5"/>
      <c r="S6" s="5"/>
    </row>
    <row r="7" spans="1:19" x14ac:dyDescent="0.75">
      <c r="A7" s="2" t="s">
        <v>19</v>
      </c>
      <c r="B7" s="23">
        <f>B4*B5*B6</f>
        <v>0</v>
      </c>
      <c r="C7" s="13" t="s">
        <v>23</v>
      </c>
      <c r="D7" s="3"/>
      <c r="E7" s="3"/>
      <c r="F7" s="4"/>
      <c r="G7" s="3"/>
      <c r="H7" s="5"/>
      <c r="I7" s="3"/>
      <c r="J7" s="3"/>
      <c r="K7" s="3"/>
      <c r="L7" s="3"/>
      <c r="M7" s="3"/>
      <c r="N7" s="3"/>
      <c r="O7" s="5"/>
      <c r="P7" s="3"/>
      <c r="Q7" s="5"/>
      <c r="R7" s="5"/>
      <c r="S7" s="5"/>
    </row>
    <row r="8" spans="1:19" x14ac:dyDescent="0.75">
      <c r="A8" t="s">
        <v>46</v>
      </c>
      <c r="B8" s="61">
        <f>Comparisons!D8</f>
        <v>0</v>
      </c>
      <c r="C8" s="12" t="s">
        <v>10</v>
      </c>
      <c r="D8" s="3"/>
      <c r="E8" s="3"/>
      <c r="F8" s="4"/>
      <c r="G8" s="3"/>
      <c r="H8" s="5"/>
      <c r="I8" s="3"/>
      <c r="J8" s="3"/>
      <c r="K8" s="3"/>
      <c r="L8" s="3"/>
      <c r="M8" s="3"/>
      <c r="N8" s="3"/>
      <c r="O8" s="5"/>
      <c r="P8" s="3"/>
      <c r="Q8" s="5"/>
      <c r="R8" s="5"/>
      <c r="S8" s="5"/>
    </row>
    <row r="9" spans="1:19" x14ac:dyDescent="0.75">
      <c r="A9" t="s">
        <v>47</v>
      </c>
      <c r="B9" s="61">
        <f>Comparisons!D9</f>
        <v>0.2</v>
      </c>
      <c r="C9" s="12" t="s">
        <v>53</v>
      </c>
      <c r="D9" s="3"/>
      <c r="E9" s="3"/>
      <c r="F9" s="4"/>
      <c r="G9" s="3"/>
      <c r="H9" s="5"/>
      <c r="I9" s="3"/>
      <c r="J9" s="3"/>
      <c r="K9" s="3"/>
      <c r="L9" s="3"/>
      <c r="M9" s="3"/>
      <c r="N9" s="3"/>
      <c r="O9" s="5"/>
      <c r="P9" s="3"/>
      <c r="Q9" s="5"/>
      <c r="R9" s="5"/>
      <c r="S9" s="5"/>
    </row>
    <row r="10" spans="1:19" x14ac:dyDescent="0.75">
      <c r="A10" t="s">
        <v>48</v>
      </c>
      <c r="B10" s="61">
        <f>Comparisons!D10</f>
        <v>7.0000000000000007E-2</v>
      </c>
      <c r="C10" s="12" t="s">
        <v>52</v>
      </c>
      <c r="D10" s="3"/>
      <c r="E10" s="3"/>
      <c r="F10" s="4"/>
      <c r="G10" s="3"/>
      <c r="H10" s="5"/>
      <c r="I10" s="3"/>
      <c r="J10" s="3"/>
      <c r="K10" s="3"/>
      <c r="L10" s="3"/>
      <c r="M10" s="3"/>
      <c r="N10" s="3"/>
      <c r="O10" s="5"/>
      <c r="P10" s="3"/>
      <c r="Q10" s="5"/>
      <c r="R10" s="5"/>
      <c r="S10" s="5"/>
    </row>
    <row r="11" spans="1:19" x14ac:dyDescent="0.75">
      <c r="A11" s="2" t="s">
        <v>44</v>
      </c>
      <c r="B11" s="23">
        <f>B8*B9*B10</f>
        <v>0</v>
      </c>
      <c r="C11" s="13" t="s">
        <v>23</v>
      </c>
      <c r="D11" s="3"/>
      <c r="E11" s="3"/>
      <c r="F11" s="4"/>
      <c r="G11" s="3"/>
      <c r="H11" s="5"/>
      <c r="I11" s="3"/>
      <c r="J11" s="3"/>
      <c r="K11" s="3"/>
      <c r="L11" s="3"/>
      <c r="M11" s="3"/>
      <c r="N11" s="3"/>
      <c r="O11" s="5"/>
      <c r="P11" s="3"/>
      <c r="Q11" s="5"/>
      <c r="R11" s="5"/>
      <c r="S11" s="5"/>
    </row>
    <row r="12" spans="1:19" x14ac:dyDescent="0.75">
      <c r="A12" s="2" t="s">
        <v>45</v>
      </c>
      <c r="B12" s="23">
        <f>B7+B11</f>
        <v>0</v>
      </c>
      <c r="C12" s="13" t="s">
        <v>23</v>
      </c>
      <c r="D12" s="3"/>
      <c r="E12" s="3"/>
      <c r="F12" s="4"/>
      <c r="G12" s="3"/>
      <c r="H12" s="5"/>
      <c r="I12" s="3"/>
      <c r="J12" s="3"/>
      <c r="K12" s="3"/>
      <c r="L12" s="3"/>
      <c r="M12" s="3"/>
      <c r="N12" s="3"/>
      <c r="O12" s="5"/>
      <c r="P12" s="3"/>
      <c r="Q12" s="5"/>
      <c r="R12" s="5"/>
      <c r="S12" s="5"/>
    </row>
    <row r="13" spans="1:19" x14ac:dyDescent="0.75">
      <c r="A13" s="2"/>
      <c r="B13" s="20"/>
      <c r="C13" s="13"/>
      <c r="D13" s="3"/>
      <c r="E13" s="3"/>
      <c r="F13" s="4"/>
      <c r="G13" s="3"/>
      <c r="H13" s="5"/>
      <c r="I13" s="3"/>
      <c r="J13" s="3"/>
      <c r="K13" s="3"/>
      <c r="L13" s="3"/>
      <c r="M13" s="3"/>
      <c r="N13" s="3"/>
      <c r="O13" s="5"/>
      <c r="P13" s="3"/>
      <c r="Q13" s="5"/>
      <c r="R13" s="5"/>
      <c r="S13" s="5"/>
    </row>
    <row r="14" spans="1:19" x14ac:dyDescent="0.75">
      <c r="A14" s="1" t="s">
        <v>102</v>
      </c>
      <c r="B14" s="3"/>
      <c r="C14" s="12"/>
      <c r="D14" s="3"/>
      <c r="E14" s="3"/>
      <c r="F14" s="4"/>
      <c r="G14" s="3"/>
      <c r="H14" s="5"/>
      <c r="I14" s="3"/>
      <c r="J14" s="3"/>
      <c r="K14" s="3"/>
      <c r="L14" s="3"/>
      <c r="M14" s="3"/>
      <c r="N14" s="3"/>
      <c r="O14" s="5"/>
      <c r="P14" s="3"/>
      <c r="Q14" s="5"/>
      <c r="R14" s="5"/>
      <c r="S14" s="5"/>
    </row>
    <row r="15" spans="1:19" x14ac:dyDescent="0.75">
      <c r="A15" t="s">
        <v>78</v>
      </c>
      <c r="B15" s="61">
        <v>100</v>
      </c>
      <c r="C15" s="12" t="s">
        <v>79</v>
      </c>
      <c r="D15" s="3"/>
      <c r="E15" t="s">
        <v>62</v>
      </c>
      <c r="F15" s="3">
        <v>2.4</v>
      </c>
      <c r="G15" s="12" t="s">
        <v>64</v>
      </c>
      <c r="H15" s="5"/>
      <c r="I15" s="3"/>
      <c r="J15" s="3"/>
      <c r="K15" s="3"/>
      <c r="L15" s="3"/>
      <c r="M15" s="3"/>
      <c r="N15" s="3"/>
      <c r="O15" s="5"/>
      <c r="P15" s="3"/>
      <c r="Q15" s="5"/>
      <c r="R15" s="5"/>
      <c r="S15" s="5"/>
    </row>
    <row r="16" spans="1:19" x14ac:dyDescent="0.75">
      <c r="A16" t="s">
        <v>27</v>
      </c>
      <c r="B16" s="61">
        <f>Comparisons!D11</f>
        <v>175</v>
      </c>
      <c r="C16" s="12" t="s">
        <v>54</v>
      </c>
      <c r="D16" s="3"/>
      <c r="E16" t="s">
        <v>61</v>
      </c>
      <c r="F16" s="3">
        <f>IF(B21&lt;1.5,2.8,3.2)</f>
        <v>3.2</v>
      </c>
      <c r="G16" s="12" t="s">
        <v>64</v>
      </c>
      <c r="H16" s="5"/>
      <c r="I16" s="3"/>
      <c r="J16" s="3"/>
      <c r="K16" s="3"/>
      <c r="L16" s="3"/>
      <c r="M16" s="3"/>
      <c r="N16" s="3"/>
      <c r="O16" s="5"/>
      <c r="P16" s="3"/>
      <c r="Q16" s="5"/>
      <c r="R16" s="5"/>
      <c r="S16" s="5"/>
    </row>
    <row r="17" spans="1:19" x14ac:dyDescent="0.75">
      <c r="A17" t="s">
        <v>28</v>
      </c>
      <c r="B17" s="61">
        <f>Comparisons!D12</f>
        <v>4.2000000000000003E-2</v>
      </c>
      <c r="C17" s="12" t="s">
        <v>52</v>
      </c>
      <c r="D17" s="3"/>
      <c r="E17" t="s">
        <v>63</v>
      </c>
      <c r="F17" s="3">
        <f>IF(B21&lt;1.5,3.5,3.9)</f>
        <v>3.9</v>
      </c>
      <c r="G17" s="12" t="s">
        <v>64</v>
      </c>
      <c r="H17" s="5"/>
      <c r="I17" s="3"/>
      <c r="J17" s="4"/>
      <c r="K17" s="3"/>
      <c r="L17" s="3"/>
      <c r="M17" s="3"/>
      <c r="N17" s="3"/>
      <c r="O17" s="5"/>
      <c r="P17" s="3"/>
      <c r="Q17" s="5"/>
      <c r="R17" s="5"/>
      <c r="S17" s="5"/>
    </row>
    <row r="18" spans="1:19" x14ac:dyDescent="0.75">
      <c r="A18" t="s">
        <v>29</v>
      </c>
      <c r="B18" s="61">
        <f>Comparisons!D13</f>
        <v>5.7000000000000002E-2</v>
      </c>
      <c r="C18" s="12" t="s">
        <v>52</v>
      </c>
      <c r="D18" s="3"/>
      <c r="E18" t="s">
        <v>62</v>
      </c>
      <c r="F18" s="25">
        <f>B16*F15/100*B17</f>
        <v>0.17640000000000003</v>
      </c>
      <c r="G18" s="12" t="s">
        <v>55</v>
      </c>
      <c r="H18" s="5"/>
      <c r="I18" s="3"/>
      <c r="J18" s="4"/>
      <c r="K18" s="3"/>
      <c r="L18" s="3"/>
      <c r="M18" s="3"/>
      <c r="N18" s="3"/>
      <c r="O18" s="5"/>
      <c r="P18" s="3"/>
      <c r="Q18" s="5"/>
      <c r="R18" s="5"/>
      <c r="S18" s="5"/>
    </row>
    <row r="19" spans="1:19" x14ac:dyDescent="0.75">
      <c r="A19" t="s">
        <v>30</v>
      </c>
      <c r="B19" s="61">
        <f>Comparisons!D14</f>
        <v>12</v>
      </c>
      <c r="C19" s="12" t="s">
        <v>82</v>
      </c>
      <c r="D19" s="3"/>
      <c r="E19" t="s">
        <v>61</v>
      </c>
      <c r="F19" s="25">
        <f>F16/100*B16*B18</f>
        <v>0.31920000000000004</v>
      </c>
      <c r="G19" s="12" t="s">
        <v>55</v>
      </c>
      <c r="H19" s="5"/>
      <c r="I19" s="3"/>
      <c r="J19" s="4"/>
      <c r="K19" s="3"/>
      <c r="L19" s="3"/>
      <c r="M19" s="3"/>
      <c r="N19" s="3"/>
      <c r="O19" s="5"/>
      <c r="P19" s="3"/>
      <c r="Q19" s="5"/>
      <c r="R19" s="5"/>
      <c r="S19" s="5"/>
    </row>
    <row r="20" spans="1:19" x14ac:dyDescent="0.75">
      <c r="A20" t="s">
        <v>31</v>
      </c>
      <c r="B20" s="61">
        <f>Comparisons!D15</f>
        <v>94</v>
      </c>
      <c r="C20" s="12" t="s">
        <v>25</v>
      </c>
      <c r="D20" s="3"/>
      <c r="E20" t="s">
        <v>63</v>
      </c>
      <c r="F20" s="25">
        <f>B16*F17/100*B18</f>
        <v>0.38902500000000001</v>
      </c>
      <c r="G20" s="12" t="s">
        <v>55</v>
      </c>
      <c r="H20" s="5"/>
      <c r="I20" s="3"/>
      <c r="J20" s="4"/>
      <c r="K20" s="3"/>
      <c r="L20" s="3"/>
      <c r="M20" s="3"/>
      <c r="N20" s="3"/>
      <c r="O20" s="5"/>
      <c r="P20" s="3"/>
      <c r="Q20" s="5"/>
      <c r="R20" s="5"/>
      <c r="S20" s="5"/>
    </row>
    <row r="21" spans="1:19" x14ac:dyDescent="0.75">
      <c r="A21" t="s">
        <v>32</v>
      </c>
      <c r="B21" s="61">
        <f>Comparisons!D16</f>
        <v>1.9</v>
      </c>
      <c r="C21" s="12" t="s">
        <v>33</v>
      </c>
      <c r="D21" s="3"/>
      <c r="E21" t="s">
        <v>26</v>
      </c>
      <c r="F21" s="3">
        <f>(B19*30-4*7-B3)*F18</f>
        <v>47.098800000000004</v>
      </c>
      <c r="G21" s="12" t="s">
        <v>80</v>
      </c>
      <c r="H21" s="5"/>
      <c r="I21" s="3"/>
      <c r="J21" s="4"/>
      <c r="K21" s="3"/>
      <c r="L21" s="3"/>
      <c r="M21" s="3"/>
      <c r="N21" s="3"/>
      <c r="O21" s="5"/>
      <c r="P21" s="3"/>
      <c r="Q21" s="5"/>
      <c r="R21" s="5"/>
      <c r="S21" s="5"/>
    </row>
    <row r="22" spans="1:19" x14ac:dyDescent="0.75">
      <c r="A22" t="s">
        <v>60</v>
      </c>
      <c r="B22" s="61">
        <f>Comparisons!D17</f>
        <v>11</v>
      </c>
      <c r="C22" s="12" t="s">
        <v>84</v>
      </c>
      <c r="D22" s="3"/>
      <c r="E22" t="s">
        <v>65</v>
      </c>
      <c r="F22" s="3">
        <f>4*7*F19</f>
        <v>8.9376000000000015</v>
      </c>
      <c r="G22" s="12" t="s">
        <v>80</v>
      </c>
      <c r="H22" s="5"/>
      <c r="I22" s="3"/>
      <c r="J22" s="4"/>
      <c r="K22" s="3"/>
      <c r="L22" s="3"/>
      <c r="M22" s="3"/>
      <c r="N22" s="3"/>
      <c r="O22" s="5"/>
      <c r="P22" s="3"/>
      <c r="Q22" s="5"/>
      <c r="R22" s="5"/>
      <c r="S22" s="5"/>
    </row>
    <row r="23" spans="1:19" x14ac:dyDescent="0.75">
      <c r="A23" t="s">
        <v>59</v>
      </c>
      <c r="B23" s="61">
        <f>Comparisons!D18</f>
        <v>3</v>
      </c>
      <c r="C23" s="12" t="s">
        <v>85</v>
      </c>
      <c r="D23" s="3"/>
      <c r="E23" t="s">
        <v>66</v>
      </c>
      <c r="F23" s="10">
        <f>B3*F20</f>
        <v>25.286625000000001</v>
      </c>
      <c r="G23" s="12" t="s">
        <v>80</v>
      </c>
      <c r="H23" s="5"/>
      <c r="I23" s="3"/>
      <c r="J23" s="4"/>
      <c r="K23" s="3"/>
      <c r="L23" s="3"/>
      <c r="M23" s="3"/>
      <c r="N23" s="3"/>
      <c r="O23" s="5"/>
      <c r="P23" s="3"/>
      <c r="Q23" s="5"/>
      <c r="R23" s="5"/>
      <c r="S23" s="5"/>
    </row>
    <row r="24" spans="1:19" x14ac:dyDescent="0.75">
      <c r="A24" s="21" t="s">
        <v>72</v>
      </c>
      <c r="B24" s="24">
        <f>B15*B20/100*B21*(1-B22/100)*(1-B23/100)</f>
        <v>154.18538000000001</v>
      </c>
      <c r="C24" s="13" t="s">
        <v>77</v>
      </c>
      <c r="D24" s="3"/>
      <c r="E24" t="s">
        <v>56</v>
      </c>
      <c r="F24" s="3">
        <f>F21+F22+F23</f>
        <v>81.323025000000001</v>
      </c>
      <c r="G24" s="12" t="s">
        <v>98</v>
      </c>
      <c r="H24" s="5"/>
      <c r="I24" s="3"/>
      <c r="J24" s="4"/>
      <c r="K24" s="3"/>
      <c r="L24" s="3"/>
      <c r="M24" s="3"/>
      <c r="N24" s="3"/>
      <c r="O24" s="5"/>
      <c r="P24" s="3"/>
      <c r="Q24" s="5"/>
      <c r="R24" s="5"/>
      <c r="S24" s="5"/>
    </row>
    <row r="25" spans="1:19" s="19" customFormat="1" x14ac:dyDescent="0.75">
      <c r="A25" s="22" t="s">
        <v>71</v>
      </c>
      <c r="B25" s="26">
        <f>B21*B20/100</f>
        <v>1.786</v>
      </c>
      <c r="C25" s="13" t="s">
        <v>96</v>
      </c>
      <c r="D25" s="16"/>
      <c r="E25" t="s">
        <v>57</v>
      </c>
      <c r="F25" s="5">
        <f>(F18*365)*(1-B20/100)+F24*B20/100</f>
        <v>80.306803500000001</v>
      </c>
      <c r="G25" s="12" t="s">
        <v>81</v>
      </c>
      <c r="H25" s="18"/>
      <c r="I25" s="16"/>
      <c r="J25" s="17"/>
      <c r="K25" s="16"/>
      <c r="L25" s="16"/>
      <c r="M25" s="16"/>
      <c r="N25" s="16"/>
      <c r="O25" s="18"/>
      <c r="P25" s="16"/>
      <c r="Q25" s="18"/>
      <c r="R25" s="18"/>
      <c r="S25" s="18"/>
    </row>
    <row r="26" spans="1:19" x14ac:dyDescent="0.75">
      <c r="A26" s="22" t="s">
        <v>70</v>
      </c>
      <c r="B26" s="26">
        <f>B20/100*B21*(1-B22/100)*(1-B23/100)</f>
        <v>1.5418537999999999</v>
      </c>
      <c r="C26" s="13" t="s">
        <v>97</v>
      </c>
      <c r="D26" s="3"/>
      <c r="E26" s="2" t="s">
        <v>58</v>
      </c>
      <c r="F26" s="26">
        <f>F25/B26</f>
        <v>52.084577344492715</v>
      </c>
      <c r="G26" s="13" t="s">
        <v>118</v>
      </c>
      <c r="H26" s="5"/>
      <c r="I26" s="3"/>
      <c r="J26" s="3"/>
      <c r="K26" s="3"/>
      <c r="L26" s="3"/>
      <c r="M26" s="3"/>
      <c r="N26" s="3"/>
      <c r="O26" s="5"/>
      <c r="P26" s="3"/>
      <c r="Q26" s="5"/>
      <c r="R26" s="5"/>
      <c r="S26" s="5"/>
    </row>
    <row r="27" spans="1:19" x14ac:dyDescent="0.75">
      <c r="B27" s="3"/>
      <c r="C27" s="3"/>
      <c r="D27" s="3"/>
      <c r="E27" s="3"/>
      <c r="F27" s="4"/>
      <c r="G27" s="3"/>
      <c r="H27" s="5"/>
      <c r="I27" s="3"/>
      <c r="J27" s="3"/>
      <c r="K27" s="3"/>
      <c r="L27" s="3"/>
      <c r="M27" s="3"/>
      <c r="N27" s="3"/>
      <c r="O27" s="5"/>
      <c r="P27" s="3"/>
      <c r="Q27" s="5"/>
      <c r="R27" s="5"/>
      <c r="S27" s="5"/>
    </row>
    <row r="28" spans="1:19" x14ac:dyDescent="0.75">
      <c r="A28" s="1" t="s">
        <v>83</v>
      </c>
      <c r="B28" s="3"/>
      <c r="C28" s="12"/>
      <c r="D28" s="3"/>
      <c r="E28" s="3"/>
      <c r="F28" s="4"/>
      <c r="G28" s="3"/>
      <c r="H28" s="4"/>
      <c r="I28" s="3"/>
      <c r="J28" s="5"/>
      <c r="K28" s="3"/>
      <c r="L28" s="3"/>
      <c r="M28" s="3"/>
      <c r="N28" s="3"/>
      <c r="O28" s="5"/>
      <c r="P28" s="3"/>
      <c r="Q28" s="5"/>
      <c r="R28" s="5"/>
      <c r="S28" s="5"/>
    </row>
    <row r="29" spans="1:19" x14ac:dyDescent="0.75">
      <c r="A29" t="s">
        <v>36</v>
      </c>
      <c r="B29" s="61">
        <f>Comparisons!D19</f>
        <v>10</v>
      </c>
      <c r="C29" s="12" t="s">
        <v>35</v>
      </c>
      <c r="D29" s="3"/>
      <c r="E29" s="3"/>
      <c r="F29" s="4"/>
      <c r="G29" s="3"/>
      <c r="H29" s="5"/>
      <c r="I29" s="3"/>
      <c r="J29" s="3"/>
      <c r="K29" s="3"/>
      <c r="L29" s="3"/>
      <c r="M29" s="3"/>
      <c r="N29" s="3"/>
      <c r="O29" s="5"/>
      <c r="P29" s="3"/>
      <c r="Q29" s="5"/>
      <c r="R29" s="5"/>
      <c r="S29" s="5"/>
    </row>
    <row r="30" spans="1:19" x14ac:dyDescent="0.75">
      <c r="A30" t="s">
        <v>34</v>
      </c>
      <c r="B30" s="61">
        <f>Comparisons!D20</f>
        <v>0.4</v>
      </c>
      <c r="C30" s="12" t="s">
        <v>99</v>
      </c>
      <c r="D30" s="3"/>
      <c r="E30" s="3"/>
      <c r="F30" s="4"/>
      <c r="G30" s="3"/>
      <c r="H30" s="5"/>
      <c r="I30" s="3"/>
      <c r="J30" s="3"/>
      <c r="K30" s="3"/>
      <c r="L30" s="3"/>
      <c r="M30" s="3"/>
      <c r="N30" s="3"/>
      <c r="O30" s="5"/>
      <c r="P30" s="3"/>
      <c r="Q30" s="5"/>
      <c r="R30" s="5"/>
      <c r="S30" s="5"/>
    </row>
    <row r="31" spans="1:19" x14ac:dyDescent="0.75">
      <c r="A31" t="s">
        <v>100</v>
      </c>
      <c r="B31" s="61">
        <f>Comparisons!D21</f>
        <v>2.25</v>
      </c>
      <c r="C31" s="12" t="s">
        <v>99</v>
      </c>
      <c r="D31" s="3"/>
      <c r="E31" s="3"/>
      <c r="F31" s="4"/>
      <c r="G31" s="3"/>
      <c r="H31" s="5"/>
      <c r="I31" s="3"/>
      <c r="J31" s="3"/>
      <c r="K31" s="3"/>
      <c r="L31" s="3"/>
      <c r="M31" s="3"/>
      <c r="N31" s="3"/>
      <c r="O31" s="5"/>
      <c r="P31" s="3"/>
      <c r="Q31" s="5"/>
      <c r="R31" s="5"/>
      <c r="S31" s="5"/>
    </row>
    <row r="32" spans="1:19" x14ac:dyDescent="0.75">
      <c r="A32" t="s">
        <v>67</v>
      </c>
      <c r="B32" s="61">
        <f>Comparisons!D22</f>
        <v>8</v>
      </c>
      <c r="C32" s="12" t="s">
        <v>80</v>
      </c>
      <c r="D32" s="3"/>
      <c r="E32" s="3"/>
      <c r="F32" s="4"/>
      <c r="G32" s="3"/>
      <c r="H32" s="5"/>
      <c r="I32" s="3"/>
      <c r="J32" s="3"/>
      <c r="K32" s="3"/>
      <c r="L32" s="3"/>
      <c r="M32" s="3"/>
      <c r="N32" s="3"/>
      <c r="O32" s="5"/>
      <c r="P32" s="3"/>
      <c r="Q32" s="5"/>
      <c r="R32" s="5"/>
      <c r="S32" s="5"/>
    </row>
    <row r="33" spans="1:19" x14ac:dyDescent="0.75">
      <c r="A33" t="s">
        <v>101</v>
      </c>
      <c r="B33" s="61">
        <f>Comparisons!D23</f>
        <v>3</v>
      </c>
      <c r="C33" s="12" t="s">
        <v>80</v>
      </c>
      <c r="D33" s="3"/>
      <c r="E33" s="3"/>
      <c r="F33" s="4"/>
      <c r="G33" s="3"/>
      <c r="H33" s="5"/>
      <c r="I33" s="3"/>
      <c r="J33" s="3"/>
      <c r="K33" s="3"/>
      <c r="L33" s="3"/>
      <c r="M33" s="3"/>
      <c r="N33" s="3"/>
      <c r="O33" s="5"/>
      <c r="P33" s="3"/>
      <c r="Q33" s="5"/>
      <c r="R33" s="5"/>
      <c r="S33" s="5"/>
    </row>
    <row r="34" spans="1:19" x14ac:dyDescent="0.75">
      <c r="A34" t="s">
        <v>37</v>
      </c>
      <c r="B34" s="5">
        <f>B31*B29+B30*B29*(B20/100)</f>
        <v>26.259999999999998</v>
      </c>
      <c r="C34" s="12" t="s">
        <v>81</v>
      </c>
      <c r="D34" s="3"/>
      <c r="E34" s="3"/>
      <c r="F34" s="4"/>
      <c r="G34" s="3"/>
      <c r="H34" s="5"/>
      <c r="I34" s="3"/>
      <c r="J34" s="3"/>
      <c r="K34" s="3"/>
      <c r="L34" s="3"/>
      <c r="M34" s="3"/>
      <c r="N34" s="3"/>
      <c r="O34" s="5"/>
      <c r="P34" s="3"/>
      <c r="Q34" s="5"/>
      <c r="R34" s="5"/>
      <c r="S34" s="5"/>
    </row>
    <row r="35" spans="1:19" x14ac:dyDescent="0.75">
      <c r="A35" t="s">
        <v>38</v>
      </c>
      <c r="B35" s="5">
        <f>B32*B20/100+B33*(1-B20/100)</f>
        <v>7.6999999999999993</v>
      </c>
      <c r="C35" s="12" t="s">
        <v>81</v>
      </c>
      <c r="D35" s="3"/>
      <c r="E35" s="3"/>
      <c r="F35" s="4"/>
      <c r="G35" s="3"/>
      <c r="H35" s="5"/>
      <c r="I35" s="3"/>
      <c r="J35" s="3"/>
      <c r="K35" s="3"/>
      <c r="L35" s="3"/>
      <c r="M35" s="3"/>
      <c r="N35" s="3"/>
      <c r="O35" s="5"/>
      <c r="P35" s="3"/>
      <c r="Q35" s="5"/>
      <c r="R35" s="5"/>
      <c r="S35" s="5"/>
    </row>
    <row r="36" spans="1:19" x14ac:dyDescent="0.75">
      <c r="A36" t="s">
        <v>68</v>
      </c>
      <c r="B36" s="5">
        <f>SUM(B34:B35)</f>
        <v>33.959999999999994</v>
      </c>
      <c r="C36" s="12" t="s">
        <v>81</v>
      </c>
      <c r="D36" s="3"/>
      <c r="E36" s="3"/>
      <c r="F36" s="4"/>
      <c r="G36" s="3"/>
      <c r="H36" s="5"/>
      <c r="I36" s="3"/>
      <c r="J36" s="3"/>
      <c r="K36" s="3"/>
      <c r="L36" s="3"/>
      <c r="M36" s="3"/>
      <c r="N36" s="3"/>
      <c r="O36" s="5"/>
      <c r="P36" s="3"/>
      <c r="Q36" s="5"/>
      <c r="R36" s="5"/>
      <c r="S36" s="5"/>
    </row>
    <row r="37" spans="1:19" s="2" customFormat="1" x14ac:dyDescent="0.75">
      <c r="A37" s="2" t="s">
        <v>39</v>
      </c>
      <c r="B37" s="26">
        <f>B36/B26</f>
        <v>22.025434577519604</v>
      </c>
      <c r="C37" s="13" t="s">
        <v>118</v>
      </c>
      <c r="D37" s="6"/>
      <c r="E37" s="6"/>
      <c r="F37" s="7"/>
      <c r="G37" s="6"/>
      <c r="H37" s="8"/>
      <c r="I37" s="6"/>
      <c r="J37" s="6"/>
      <c r="K37" s="6"/>
      <c r="L37" s="6"/>
      <c r="M37" s="6"/>
      <c r="N37" s="6"/>
      <c r="O37" s="8"/>
      <c r="P37" s="6"/>
      <c r="Q37" s="8"/>
      <c r="R37" s="8"/>
      <c r="S37" s="8"/>
    </row>
    <row r="38" spans="1:19" s="2" customFormat="1" x14ac:dyDescent="0.75">
      <c r="B38" s="29"/>
      <c r="C38" s="13"/>
      <c r="D38" s="6"/>
      <c r="E38" s="6"/>
      <c r="F38" s="7"/>
      <c r="G38" s="6"/>
      <c r="H38" s="8"/>
      <c r="I38" s="6"/>
      <c r="J38" s="6"/>
      <c r="K38" s="6"/>
      <c r="L38" s="6"/>
      <c r="M38" s="6"/>
      <c r="N38" s="6"/>
      <c r="O38" s="8"/>
      <c r="P38" s="6"/>
      <c r="Q38" s="8"/>
      <c r="R38" s="8"/>
      <c r="S38" s="8"/>
    </row>
    <row r="39" spans="1:19" s="2" customFormat="1" x14ac:dyDescent="0.75">
      <c r="A39" s="1" t="s">
        <v>103</v>
      </c>
      <c r="B39" s="29"/>
      <c r="C39" s="13"/>
      <c r="D39" s="6"/>
      <c r="E39" s="6"/>
      <c r="F39" s="7"/>
      <c r="G39" s="6"/>
      <c r="H39" s="8"/>
      <c r="I39" s="6"/>
      <c r="J39" s="6"/>
      <c r="K39" s="6"/>
      <c r="L39" s="6"/>
      <c r="M39" s="6"/>
      <c r="N39" s="6"/>
      <c r="O39" s="8"/>
      <c r="P39" s="6"/>
      <c r="Q39" s="8"/>
      <c r="R39" s="8"/>
      <c r="S39" s="8"/>
    </row>
    <row r="40" spans="1:19" s="2" customFormat="1" x14ac:dyDescent="0.75">
      <c r="A40" s="30" t="s">
        <v>104</v>
      </c>
      <c r="B40" s="33">
        <f>Comparisons!D24</f>
        <v>15</v>
      </c>
      <c r="C40" s="32" t="s">
        <v>105</v>
      </c>
      <c r="D40" s="6"/>
      <c r="E40" s="6"/>
      <c r="F40" s="7"/>
      <c r="G40" s="6"/>
      <c r="H40" s="8"/>
      <c r="I40" s="6"/>
      <c r="J40" s="6"/>
      <c r="K40" s="6"/>
      <c r="L40" s="6"/>
      <c r="M40" s="6"/>
      <c r="N40" s="6"/>
      <c r="O40" s="8"/>
      <c r="P40" s="6"/>
      <c r="Q40" s="8"/>
      <c r="R40" s="8"/>
      <c r="S40" s="8"/>
    </row>
    <row r="41" spans="1:19" s="2" customFormat="1" x14ac:dyDescent="0.75">
      <c r="A41" s="30" t="s">
        <v>106</v>
      </c>
      <c r="B41" s="34">
        <f>Comparisons!D25</f>
        <v>6.5000000000000002E-2</v>
      </c>
      <c r="C41" s="32" t="s">
        <v>52</v>
      </c>
      <c r="D41" s="6"/>
      <c r="E41" s="6"/>
      <c r="F41" s="7"/>
      <c r="G41" s="6"/>
      <c r="H41" s="8"/>
      <c r="I41" s="6"/>
      <c r="J41" s="6"/>
      <c r="K41" s="6"/>
      <c r="L41" s="6"/>
      <c r="M41" s="6"/>
      <c r="N41" s="6"/>
      <c r="O41" s="8"/>
      <c r="P41" s="6"/>
      <c r="Q41" s="8"/>
      <c r="R41" s="8"/>
      <c r="S41" s="8"/>
    </row>
    <row r="42" spans="1:19" s="2" customFormat="1" x14ac:dyDescent="0.75">
      <c r="A42" s="30" t="s">
        <v>110</v>
      </c>
      <c r="B42" s="33">
        <f>Comparisons!D26</f>
        <v>115</v>
      </c>
      <c r="C42" s="30" t="s">
        <v>54</v>
      </c>
      <c r="D42" s="6"/>
      <c r="E42" s="6"/>
      <c r="F42" s="7"/>
      <c r="G42" s="6"/>
      <c r="H42" s="8"/>
      <c r="I42" s="6"/>
      <c r="J42" s="6"/>
      <c r="K42" s="6"/>
      <c r="L42" s="6"/>
      <c r="M42" s="6"/>
      <c r="N42" s="6"/>
      <c r="O42" s="8"/>
      <c r="P42" s="6"/>
      <c r="Q42" s="8"/>
      <c r="R42" s="8"/>
      <c r="S42" s="8"/>
    </row>
    <row r="43" spans="1:19" s="2" customFormat="1" x14ac:dyDescent="0.75">
      <c r="A43" s="30" t="s">
        <v>107</v>
      </c>
      <c r="B43" s="33">
        <f>Comparisons!D27</f>
        <v>230</v>
      </c>
      <c r="C43" s="32" t="s">
        <v>10</v>
      </c>
      <c r="D43" s="6"/>
      <c r="E43" s="6"/>
      <c r="F43" s="7"/>
      <c r="G43" s="6"/>
      <c r="H43" s="8"/>
      <c r="I43" s="6"/>
      <c r="J43" s="6"/>
      <c r="K43" s="6"/>
      <c r="L43" s="6"/>
      <c r="M43" s="6"/>
      <c r="N43" s="6"/>
      <c r="O43" s="8"/>
      <c r="P43" s="6"/>
      <c r="Q43" s="8"/>
      <c r="R43" s="8"/>
      <c r="S43" s="8"/>
    </row>
    <row r="44" spans="1:19" s="2" customFormat="1" x14ac:dyDescent="0.75">
      <c r="A44" s="30" t="s">
        <v>108</v>
      </c>
      <c r="B44" s="31">
        <f>0.032*(B42-B2)/(LN(B42/B2)/(B43-B3))*B41</f>
        <v>26.317478616268733</v>
      </c>
      <c r="C44" s="32" t="s">
        <v>109</v>
      </c>
      <c r="D44" s="6"/>
      <c r="E44" s="6"/>
      <c r="F44" s="7"/>
      <c r="G44" s="6"/>
      <c r="H44" s="8"/>
      <c r="I44" s="6"/>
      <c r="J44" s="6"/>
      <c r="K44" s="6"/>
      <c r="L44" s="6"/>
      <c r="M44" s="6"/>
      <c r="N44" s="6"/>
      <c r="O44" s="8"/>
      <c r="P44" s="6"/>
      <c r="Q44" s="8"/>
      <c r="R44" s="8"/>
      <c r="S44" s="8"/>
    </row>
    <row r="45" spans="1:19" s="2" customFormat="1" x14ac:dyDescent="0.75">
      <c r="A45" s="41" t="s">
        <v>108</v>
      </c>
      <c r="B45" s="26">
        <f>B44*(B40/100)</f>
        <v>3.9476217924403096</v>
      </c>
      <c r="C45" s="13" t="s">
        <v>119</v>
      </c>
      <c r="D45" s="6"/>
      <c r="E45" s="6"/>
      <c r="F45" s="7"/>
      <c r="G45" s="6"/>
      <c r="H45" s="8"/>
      <c r="I45" s="6"/>
      <c r="J45" s="6"/>
      <c r="K45" s="6"/>
      <c r="L45" s="6"/>
      <c r="M45" s="6"/>
      <c r="N45" s="6"/>
      <c r="O45" s="8"/>
      <c r="P45" s="6"/>
      <c r="Q45" s="8"/>
      <c r="R45" s="8"/>
      <c r="S45" s="8"/>
    </row>
    <row r="46" spans="1:19" s="36" customFormat="1" x14ac:dyDescent="0.75">
      <c r="A46" s="41"/>
      <c r="B46" s="29"/>
      <c r="C46" s="37"/>
      <c r="D46" s="42"/>
      <c r="E46" s="42"/>
      <c r="F46" s="43"/>
      <c r="G46" s="42"/>
      <c r="H46" s="29"/>
      <c r="I46" s="42"/>
      <c r="J46" s="42"/>
      <c r="K46" s="42"/>
      <c r="L46" s="42"/>
      <c r="M46" s="42"/>
      <c r="N46" s="42"/>
      <c r="O46" s="29"/>
      <c r="P46" s="42"/>
      <c r="Q46" s="29"/>
      <c r="R46" s="29"/>
      <c r="S46" s="29"/>
    </row>
    <row r="47" spans="1:19" s="2" customFormat="1" x14ac:dyDescent="0.75">
      <c r="A47" s="40" t="s">
        <v>114</v>
      </c>
      <c r="B47" s="44">
        <f>Comparisons!D28</f>
        <v>10</v>
      </c>
      <c r="C47" s="32" t="s">
        <v>109</v>
      </c>
      <c r="D47" s="6"/>
      <c r="E47" s="6"/>
      <c r="F47" s="7"/>
      <c r="G47" s="6"/>
      <c r="H47" s="8"/>
      <c r="I47" s="6"/>
      <c r="J47" s="6"/>
      <c r="K47" s="6"/>
      <c r="L47" s="6"/>
      <c r="M47" s="6"/>
      <c r="N47" s="6"/>
      <c r="O47" s="8"/>
      <c r="P47" s="6"/>
      <c r="Q47" s="8"/>
      <c r="R47" s="8"/>
      <c r="S47" s="8"/>
    </row>
    <row r="48" spans="1:19" s="2" customFormat="1" x14ac:dyDescent="0.75">
      <c r="A48" s="41" t="s">
        <v>114</v>
      </c>
      <c r="B48" s="26">
        <f>B47*(B40/100)</f>
        <v>1.5</v>
      </c>
      <c r="C48" s="13" t="s">
        <v>119</v>
      </c>
      <c r="D48" s="6"/>
      <c r="E48" s="6"/>
      <c r="F48" s="7"/>
      <c r="G48" s="6"/>
      <c r="H48" s="8"/>
      <c r="I48" s="6"/>
      <c r="J48" s="6"/>
      <c r="K48" s="6"/>
      <c r="L48" s="6"/>
      <c r="M48" s="6"/>
      <c r="N48" s="6"/>
      <c r="O48" s="8"/>
      <c r="P48" s="6"/>
      <c r="Q48" s="8"/>
      <c r="R48" s="8"/>
      <c r="S48" s="8"/>
    </row>
    <row r="49" spans="1:19" s="2" customFormat="1" x14ac:dyDescent="0.75">
      <c r="A49" s="41"/>
      <c r="B49" s="29"/>
      <c r="C49" s="13"/>
      <c r="D49" s="6"/>
      <c r="E49" s="6"/>
      <c r="F49" s="7"/>
      <c r="G49" s="6"/>
      <c r="H49" s="8"/>
      <c r="I49" s="6"/>
      <c r="J49" s="6"/>
      <c r="K49" s="6"/>
      <c r="L49" s="6"/>
      <c r="M49" s="6"/>
      <c r="N49" s="6"/>
      <c r="O49" s="8"/>
      <c r="P49" s="6"/>
      <c r="Q49" s="8"/>
      <c r="R49" s="8"/>
      <c r="S49" s="8"/>
    </row>
    <row r="50" spans="1:19" s="2" customFormat="1" x14ac:dyDescent="0.75">
      <c r="A50" s="38" t="s">
        <v>111</v>
      </c>
      <c r="B50" s="34">
        <f>Comparisons!D29</f>
        <v>0.75</v>
      </c>
      <c r="C50" s="39" t="s">
        <v>112</v>
      </c>
      <c r="D50" s="6"/>
      <c r="E50" s="6"/>
      <c r="F50" s="7"/>
      <c r="G50" s="6"/>
      <c r="H50" s="8"/>
      <c r="I50" s="6"/>
      <c r="J50" s="6"/>
      <c r="K50" s="6"/>
      <c r="L50" s="6"/>
      <c r="M50" s="6"/>
      <c r="N50" s="6"/>
      <c r="O50" s="8"/>
      <c r="P50" s="6"/>
      <c r="Q50" s="8"/>
      <c r="R50" s="8"/>
      <c r="S50" s="8"/>
    </row>
    <row r="51" spans="1:19" s="2" customFormat="1" x14ac:dyDescent="0.75">
      <c r="A51" s="41" t="s">
        <v>113</v>
      </c>
      <c r="B51" s="45">
        <f>B50*B16*B40/100/B26</f>
        <v>12.768720354679543</v>
      </c>
      <c r="C51" s="13" t="s">
        <v>119</v>
      </c>
      <c r="D51" s="6"/>
      <c r="E51" s="6"/>
      <c r="F51" s="7"/>
      <c r="G51" s="6"/>
      <c r="H51" s="8"/>
      <c r="I51" s="6"/>
      <c r="J51" s="6"/>
      <c r="K51" s="6"/>
      <c r="L51" s="6"/>
      <c r="M51" s="6"/>
      <c r="N51" s="6"/>
      <c r="O51" s="8"/>
      <c r="P51" s="6"/>
      <c r="Q51" s="8"/>
      <c r="R51" s="8"/>
      <c r="S51" s="8"/>
    </row>
    <row r="53" spans="1:19" x14ac:dyDescent="0.75">
      <c r="A53" s="1" t="s">
        <v>88</v>
      </c>
      <c r="B53" s="3"/>
      <c r="C53" s="3"/>
      <c r="D53" s="90" t="s">
        <v>127</v>
      </c>
      <c r="E53" s="90"/>
      <c r="F53" s="90"/>
      <c r="G53" s="86" t="s">
        <v>123</v>
      </c>
      <c r="H53" s="86"/>
      <c r="I53" s="86"/>
      <c r="J53" s="86"/>
      <c r="K53" s="87" t="s">
        <v>124</v>
      </c>
      <c r="L53" s="88"/>
      <c r="M53" s="88"/>
      <c r="N53" s="88"/>
      <c r="O53" s="89"/>
      <c r="P53" s="91" t="s">
        <v>130</v>
      </c>
      <c r="Q53" s="92"/>
      <c r="R53" s="92"/>
      <c r="S53" s="93"/>
    </row>
    <row r="54" spans="1:19" x14ac:dyDescent="0.75">
      <c r="A54" s="3" t="s">
        <v>0</v>
      </c>
      <c r="B54" s="3" t="s">
        <v>40</v>
      </c>
      <c r="C54" s="3" t="s">
        <v>6</v>
      </c>
      <c r="D54" s="3" t="s">
        <v>3</v>
      </c>
      <c r="E54" s="3" t="s">
        <v>2</v>
      </c>
      <c r="F54" s="3" t="s">
        <v>5</v>
      </c>
      <c r="G54" s="3" t="s">
        <v>8</v>
      </c>
      <c r="H54" s="3" t="s">
        <v>69</v>
      </c>
      <c r="I54" s="3" t="s">
        <v>126</v>
      </c>
      <c r="J54" s="3" t="s">
        <v>125</v>
      </c>
      <c r="K54" s="3" t="s">
        <v>50</v>
      </c>
      <c r="L54" s="3" t="s">
        <v>22</v>
      </c>
      <c r="M54" s="3" t="s">
        <v>7</v>
      </c>
      <c r="N54" s="3" t="s">
        <v>51</v>
      </c>
      <c r="O54" s="3" t="s">
        <v>21</v>
      </c>
      <c r="P54" s="3" t="s">
        <v>8</v>
      </c>
      <c r="Q54" s="3" t="s">
        <v>69</v>
      </c>
      <c r="R54" s="3" t="s">
        <v>126</v>
      </c>
      <c r="S54" s="3" t="s">
        <v>125</v>
      </c>
    </row>
    <row r="55" spans="1:19" x14ac:dyDescent="0.75">
      <c r="A55" s="3" t="s">
        <v>24</v>
      </c>
      <c r="B55" s="3" t="s">
        <v>25</v>
      </c>
      <c r="C55" s="3" t="s">
        <v>10</v>
      </c>
      <c r="D55" s="3" t="s">
        <v>12</v>
      </c>
      <c r="E55" s="3" t="s">
        <v>17</v>
      </c>
      <c r="F55" s="3" t="s">
        <v>52</v>
      </c>
      <c r="G55" s="3" t="s">
        <v>23</v>
      </c>
      <c r="H55" s="3" t="s">
        <v>86</v>
      </c>
      <c r="I55" s="3" t="s">
        <v>23</v>
      </c>
      <c r="J55" s="3" t="s">
        <v>87</v>
      </c>
      <c r="K55" s="3" t="s">
        <v>76</v>
      </c>
      <c r="L55" s="3" t="s">
        <v>76</v>
      </c>
      <c r="M55" s="3" t="s">
        <v>23</v>
      </c>
      <c r="N55" s="3" t="s">
        <v>23</v>
      </c>
      <c r="O55" s="3" t="s">
        <v>25</v>
      </c>
      <c r="P55" s="3" t="s">
        <v>23</v>
      </c>
      <c r="Q55" s="3" t="s">
        <v>86</v>
      </c>
      <c r="R55" s="3" t="s">
        <v>23</v>
      </c>
      <c r="S55" s="3" t="s">
        <v>23</v>
      </c>
    </row>
    <row r="56" spans="1:19" x14ac:dyDescent="0.75">
      <c r="A56" s="5">
        <f>B2</f>
        <v>48</v>
      </c>
      <c r="B56" s="5">
        <f>A56/$B$16*100</f>
        <v>27.428571428571431</v>
      </c>
      <c r="C56" s="5">
        <f>B3</f>
        <v>65</v>
      </c>
      <c r="D56" s="67">
        <f>Finishing!D4</f>
        <v>0.7995812722283262</v>
      </c>
      <c r="E56" s="67">
        <f>Finishing!E4</f>
        <v>2.9890645053996687</v>
      </c>
      <c r="F56" s="67">
        <f>Finishing!F4</f>
        <v>0.115</v>
      </c>
      <c r="G56" s="68">
        <f>Finishing!G4</f>
        <v>0.85</v>
      </c>
      <c r="H56" s="68">
        <f>Finishing!H4</f>
        <v>0.3</v>
      </c>
      <c r="I56" s="68">
        <f>Finishing!I4</f>
        <v>1</v>
      </c>
      <c r="J56" s="68">
        <f>Finishing!J4</f>
        <v>2E-3</v>
      </c>
      <c r="K56" s="67">
        <f>Finishing!K4</f>
        <v>2</v>
      </c>
      <c r="L56" s="67">
        <f>Finishing!L4</f>
        <v>4</v>
      </c>
      <c r="M56" s="67">
        <f>Finishing!M4</f>
        <v>0</v>
      </c>
      <c r="N56" s="67">
        <f>Finishing!N4</f>
        <v>2</v>
      </c>
      <c r="O56" s="67">
        <f>Finishing!O4</f>
        <v>5</v>
      </c>
      <c r="P56" s="5">
        <f>G56</f>
        <v>0.85</v>
      </c>
      <c r="Q56" s="5">
        <f>H56</f>
        <v>0.3</v>
      </c>
      <c r="R56" s="5">
        <f>I56</f>
        <v>1</v>
      </c>
      <c r="S56" s="5">
        <f>J56*(C57-C56)*$B$29</f>
        <v>0.25013092095394712</v>
      </c>
    </row>
    <row r="57" spans="1:19" x14ac:dyDescent="0.75">
      <c r="A57" s="5">
        <f>A56+10</f>
        <v>58</v>
      </c>
      <c r="B57" s="5">
        <f t="shared" ref="B57:B70" si="0">A57/$B$16*100</f>
        <v>33.142857142857139</v>
      </c>
      <c r="C57" s="5">
        <f>C56+(A57-A56)/D56</f>
        <v>77.506546047697356</v>
      </c>
      <c r="D57" s="67">
        <f>Finishing!D5</f>
        <v>0.80548945537627681</v>
      </c>
      <c r="E57" s="67">
        <f>Finishing!E5</f>
        <v>3.4115902842158219</v>
      </c>
      <c r="F57" s="67">
        <f>Finishing!F5</f>
        <v>0.115</v>
      </c>
      <c r="G57" s="68">
        <f>Finishing!G5</f>
        <v>0</v>
      </c>
      <c r="H57" s="68">
        <f>Finishing!H5</f>
        <v>0.3</v>
      </c>
      <c r="I57" s="68">
        <f>Finishing!I5</f>
        <v>0.4</v>
      </c>
      <c r="J57" s="68">
        <f>Finishing!J5</f>
        <v>2E-3</v>
      </c>
      <c r="K57" s="67">
        <f>Finishing!K5</f>
        <v>2.1</v>
      </c>
      <c r="L57" s="67">
        <f>Finishing!L5</f>
        <v>4</v>
      </c>
      <c r="M57" s="67">
        <f>Finishing!M5</f>
        <v>0</v>
      </c>
      <c r="N57" s="67">
        <f>Finishing!N5</f>
        <v>2</v>
      </c>
      <c r="O57" s="67">
        <f>Finishing!O5</f>
        <v>5</v>
      </c>
      <c r="P57" s="5">
        <f>P56+G57</f>
        <v>0.85</v>
      </c>
      <c r="Q57" s="5">
        <f>H57+Q56</f>
        <v>0.6</v>
      </c>
      <c r="R57" s="5">
        <f>I57+R56</f>
        <v>1.4</v>
      </c>
      <c r="S57" s="5">
        <f>J57*(C58-C57)*$B$29+S56</f>
        <v>0.49842715706863572</v>
      </c>
    </row>
    <row r="58" spans="1:19" x14ac:dyDescent="0.75">
      <c r="A58" s="5">
        <f t="shared" ref="A58:A70" si="1">A57+10</f>
        <v>68</v>
      </c>
      <c r="B58" s="5">
        <f t="shared" si="0"/>
        <v>38.857142857142854</v>
      </c>
      <c r="C58" s="5">
        <f t="shared" ref="C58:C70" si="2">C57+(A58-A57)/D57</f>
        <v>89.921357853431786</v>
      </c>
      <c r="D58" s="67">
        <f>Finishing!D6</f>
        <v>0.77446414795503105</v>
      </c>
      <c r="E58" s="67">
        <f>Finishing!E6</f>
        <v>3.95886627947305</v>
      </c>
      <c r="F58" s="67">
        <f>Finishing!F6</f>
        <v>0.115</v>
      </c>
      <c r="G58" s="68">
        <f>Finishing!G6</f>
        <v>0</v>
      </c>
      <c r="H58" s="68">
        <f>Finishing!H6</f>
        <v>0.2</v>
      </c>
      <c r="I58" s="68">
        <f>Finishing!I6</f>
        <v>0.4</v>
      </c>
      <c r="J58" s="68">
        <f>Finishing!J6</f>
        <v>2E-3</v>
      </c>
      <c r="K58" s="67">
        <f>Finishing!K6</f>
        <v>2.2000000000000002</v>
      </c>
      <c r="L58" s="67">
        <f>Finishing!L6</f>
        <v>4.5</v>
      </c>
      <c r="M58" s="67">
        <f>Finishing!M6</f>
        <v>0</v>
      </c>
      <c r="N58" s="67">
        <f>Finishing!N6</f>
        <v>2</v>
      </c>
      <c r="O58" s="67">
        <f>Finishing!O6</f>
        <v>5</v>
      </c>
      <c r="P58" s="5">
        <f t="shared" ref="P58:P70" si="3">P57+G58</f>
        <v>0.85</v>
      </c>
      <c r="Q58" s="5">
        <f t="shared" ref="Q58:Q70" si="4">H58+Q57</f>
        <v>0.8</v>
      </c>
      <c r="R58" s="5">
        <f t="shared" ref="R58:R70" si="5">I58+R57</f>
        <v>1.7999999999999998</v>
      </c>
      <c r="S58" s="5">
        <f t="shared" ref="S58:S69" si="6">J58*(C59-C58)*$B$29+S57</f>
        <v>0.75667022813667562</v>
      </c>
    </row>
    <row r="59" spans="1:19" x14ac:dyDescent="0.75">
      <c r="A59" s="5">
        <f t="shared" si="1"/>
        <v>78</v>
      </c>
      <c r="B59" s="5">
        <f t="shared" si="0"/>
        <v>44.571428571428569</v>
      </c>
      <c r="C59" s="5">
        <f t="shared" si="2"/>
        <v>102.83351140683378</v>
      </c>
      <c r="D59" s="67">
        <f>Finishing!D7</f>
        <v>0.72062550635879374</v>
      </c>
      <c r="E59" s="67">
        <f>Finishing!E7</f>
        <v>4.6404130446293825</v>
      </c>
      <c r="F59" s="67">
        <f>Finishing!F7</f>
        <v>0.115</v>
      </c>
      <c r="G59" s="68">
        <f>Finishing!G7</f>
        <v>0</v>
      </c>
      <c r="H59" s="68">
        <f>Finishing!H7</f>
        <v>0.2</v>
      </c>
      <c r="I59" s="68">
        <f>Finishing!I7</f>
        <v>0.4</v>
      </c>
      <c r="J59" s="68">
        <f>Finishing!J7</f>
        <v>2E-3</v>
      </c>
      <c r="K59" s="67">
        <f>Finishing!K7</f>
        <v>2.2999999999999998</v>
      </c>
      <c r="L59" s="67">
        <f>Finishing!L7</f>
        <v>4.5</v>
      </c>
      <c r="M59" s="67">
        <f>Finishing!M7</f>
        <v>0</v>
      </c>
      <c r="N59" s="67">
        <f>Finishing!N7</f>
        <v>2</v>
      </c>
      <c r="O59" s="67">
        <f>Finishing!O7</f>
        <v>5</v>
      </c>
      <c r="P59" s="5">
        <f t="shared" si="3"/>
        <v>0.85</v>
      </c>
      <c r="Q59" s="5">
        <f t="shared" si="4"/>
        <v>1</v>
      </c>
      <c r="R59" s="5">
        <f t="shared" si="5"/>
        <v>2.1999999999999997</v>
      </c>
      <c r="S59" s="5">
        <f t="shared" si="6"/>
        <v>1.0342068934853228</v>
      </c>
    </row>
    <row r="60" spans="1:19" x14ac:dyDescent="0.75">
      <c r="A60" s="5">
        <f t="shared" si="1"/>
        <v>88</v>
      </c>
      <c r="B60" s="5">
        <f t="shared" si="0"/>
        <v>50.285714285714292</v>
      </c>
      <c r="C60" s="5">
        <f t="shared" si="2"/>
        <v>116.71034467426614</v>
      </c>
      <c r="D60" s="67">
        <f>Finishing!D8</f>
        <v>0.65537759149894059</v>
      </c>
      <c r="E60" s="67">
        <f>Finishing!E8</f>
        <v>5.4655515331359776</v>
      </c>
      <c r="F60" s="67">
        <f>Finishing!F8</f>
        <v>0.115</v>
      </c>
      <c r="G60" s="68">
        <f>Finishing!G8</f>
        <v>0</v>
      </c>
      <c r="H60" s="68">
        <f>Finishing!H8</f>
        <v>0.15</v>
      </c>
      <c r="I60" s="68">
        <f>Finishing!I8</f>
        <v>0.4</v>
      </c>
      <c r="J60" s="68">
        <f>Finishing!J8</f>
        <v>2E-3</v>
      </c>
      <c r="K60" s="67">
        <f>Finishing!K8</f>
        <v>2.4</v>
      </c>
      <c r="L60" s="67">
        <f>Finishing!L8</f>
        <v>5</v>
      </c>
      <c r="M60" s="67">
        <f>Finishing!M8</f>
        <v>0</v>
      </c>
      <c r="N60" s="67">
        <f>Finishing!N8</f>
        <v>2</v>
      </c>
      <c r="O60" s="67">
        <f>Finishing!O8</f>
        <v>4</v>
      </c>
      <c r="P60" s="5">
        <f t="shared" si="3"/>
        <v>0.85</v>
      </c>
      <c r="Q60" s="5">
        <f t="shared" si="4"/>
        <v>1.1499999999999999</v>
      </c>
      <c r="R60" s="5">
        <f t="shared" si="5"/>
        <v>2.5999999999999996</v>
      </c>
      <c r="S60" s="5">
        <f t="shared" si="6"/>
        <v>1.33937448327516</v>
      </c>
    </row>
    <row r="61" spans="1:19" x14ac:dyDescent="0.75">
      <c r="A61" s="5">
        <f t="shared" si="1"/>
        <v>98</v>
      </c>
      <c r="B61" s="5">
        <f t="shared" si="0"/>
        <v>56.000000000000007</v>
      </c>
      <c r="C61" s="5">
        <f t="shared" si="2"/>
        <v>131.968724163758</v>
      </c>
      <c r="D61" s="67">
        <f>Finishing!D9</f>
        <v>0.58663869534177293</v>
      </c>
      <c r="E61" s="67">
        <f>Finishing!E9</f>
        <v>6.4434890333952319</v>
      </c>
      <c r="F61" s="67">
        <f>Finishing!F9</f>
        <v>0.11</v>
      </c>
      <c r="G61" s="68">
        <f>Finishing!G9</f>
        <v>0</v>
      </c>
      <c r="H61" s="68">
        <f>Finishing!H9</f>
        <v>0.15</v>
      </c>
      <c r="I61" s="68">
        <f>Finishing!I9</f>
        <v>0.4</v>
      </c>
      <c r="J61" s="68">
        <f>Finishing!J9</f>
        <v>2E-3</v>
      </c>
      <c r="K61" s="67">
        <f>Finishing!K9</f>
        <v>2.5</v>
      </c>
      <c r="L61" s="67">
        <f>Finishing!L9</f>
        <v>5</v>
      </c>
      <c r="M61" s="67">
        <f>Finishing!M9</f>
        <v>0</v>
      </c>
      <c r="N61" s="67">
        <f>Finishing!N9</f>
        <v>2</v>
      </c>
      <c r="O61" s="67">
        <f>Finishing!O9</f>
        <v>4</v>
      </c>
      <c r="P61" s="5">
        <f t="shared" si="3"/>
        <v>0.85</v>
      </c>
      <c r="Q61" s="5">
        <f t="shared" si="4"/>
        <v>1.2999999999999998</v>
      </c>
      <c r="R61" s="5">
        <f t="shared" si="5"/>
        <v>2.9999999999999996</v>
      </c>
      <c r="S61" s="5">
        <f t="shared" si="6"/>
        <v>1.6802998289574476</v>
      </c>
    </row>
    <row r="62" spans="1:19" x14ac:dyDescent="0.75">
      <c r="A62" s="5">
        <f t="shared" si="1"/>
        <v>108</v>
      </c>
      <c r="B62" s="5">
        <f t="shared" si="0"/>
        <v>61.714285714285708</v>
      </c>
      <c r="C62" s="5">
        <f t="shared" si="2"/>
        <v>149.01499144787238</v>
      </c>
      <c r="D62" s="67">
        <f>Finishing!D10</f>
        <v>0.51923926932535602</v>
      </c>
      <c r="E62" s="67">
        <f>Finishing!E10</f>
        <v>7.5841721392078352</v>
      </c>
      <c r="F62" s="67">
        <f>Finishing!F10</f>
        <v>0.11</v>
      </c>
      <c r="G62" s="68">
        <f>Finishing!G10</f>
        <v>0.85</v>
      </c>
      <c r="H62" s="68">
        <f>Finishing!H10</f>
        <v>0.15</v>
      </c>
      <c r="I62" s="68">
        <f>Finishing!I10</f>
        <v>0.4</v>
      </c>
      <c r="J62" s="68">
        <f>Finishing!J10</f>
        <v>2E-3</v>
      </c>
      <c r="K62" s="67">
        <f>Finishing!K10</f>
        <v>2.6</v>
      </c>
      <c r="L62" s="67">
        <f>Finishing!L10</f>
        <v>5.5</v>
      </c>
      <c r="M62" s="67">
        <f>Finishing!M10</f>
        <v>0</v>
      </c>
      <c r="N62" s="67">
        <f>Finishing!N10</f>
        <v>2</v>
      </c>
      <c r="O62" s="67">
        <f>Finishing!O10</f>
        <v>4</v>
      </c>
      <c r="P62" s="5">
        <f t="shared" si="3"/>
        <v>1.7</v>
      </c>
      <c r="Q62" s="5">
        <f t="shared" si="4"/>
        <v>1.4499999999999997</v>
      </c>
      <c r="R62" s="5">
        <f t="shared" si="5"/>
        <v>3.3999999999999995</v>
      </c>
      <c r="S62" s="5">
        <f t="shared" si="6"/>
        <v>2.0654787085515478</v>
      </c>
    </row>
    <row r="63" spans="1:19" x14ac:dyDescent="0.75">
      <c r="A63" s="5">
        <f t="shared" si="1"/>
        <v>118</v>
      </c>
      <c r="B63" s="5">
        <f t="shared" si="0"/>
        <v>67.428571428571431</v>
      </c>
      <c r="C63" s="5">
        <f t="shared" si="2"/>
        <v>168.27393542757738</v>
      </c>
      <c r="D63" s="67">
        <f>Finishing!D11</f>
        <v>0.45573186334741117</v>
      </c>
      <c r="E63" s="67">
        <f>Finishing!E11</f>
        <v>8.8999701934557311</v>
      </c>
      <c r="F63" s="67">
        <f>Finishing!F11</f>
        <v>0.11</v>
      </c>
      <c r="G63" s="68">
        <f>Finishing!G11</f>
        <v>0</v>
      </c>
      <c r="H63" s="68">
        <f>Finishing!H11</f>
        <v>0.15</v>
      </c>
      <c r="I63" s="68">
        <f>Finishing!I11</f>
        <v>0.4</v>
      </c>
      <c r="J63" s="68">
        <f>Finishing!J11</f>
        <v>2E-3</v>
      </c>
      <c r="K63" s="67">
        <f>Finishing!K11</f>
        <v>2.7</v>
      </c>
      <c r="L63" s="67">
        <f>Finishing!L11</f>
        <v>5.5</v>
      </c>
      <c r="M63" s="67">
        <f>Finishing!M11</f>
        <v>0</v>
      </c>
      <c r="N63" s="67">
        <f>Finishing!N11</f>
        <v>2</v>
      </c>
      <c r="O63" s="67">
        <f>Finishing!O11</f>
        <v>4</v>
      </c>
      <c r="P63" s="5">
        <f t="shared" si="3"/>
        <v>1.7</v>
      </c>
      <c r="Q63" s="5">
        <f t="shared" si="4"/>
        <v>1.5999999999999996</v>
      </c>
      <c r="R63" s="5">
        <f t="shared" si="5"/>
        <v>3.7999999999999994</v>
      </c>
      <c r="S63" s="5">
        <f t="shared" si="6"/>
        <v>2.5043332545799371</v>
      </c>
    </row>
    <row r="64" spans="1:19" x14ac:dyDescent="0.75">
      <c r="A64" s="5">
        <f t="shared" si="1"/>
        <v>128</v>
      </c>
      <c r="B64" s="5">
        <f t="shared" si="0"/>
        <v>73.142857142857139</v>
      </c>
      <c r="C64" s="5">
        <f t="shared" si="2"/>
        <v>190.21666272899685</v>
      </c>
      <c r="D64" s="67">
        <f>Finishing!D12</f>
        <v>0.39717641305340173</v>
      </c>
      <c r="E64" s="67">
        <f>Finishing!E12</f>
        <v>10.408473071748519</v>
      </c>
      <c r="F64" s="67">
        <f>Finishing!F12</f>
        <v>0.11</v>
      </c>
      <c r="G64" s="68">
        <f>Finishing!G12</f>
        <v>0</v>
      </c>
      <c r="H64" s="68">
        <f>Finishing!H12</f>
        <v>0.15</v>
      </c>
      <c r="I64" s="68">
        <f>Finishing!I12</f>
        <v>0.4</v>
      </c>
      <c r="J64" s="68">
        <f>Finishing!J12</f>
        <v>2E-3</v>
      </c>
      <c r="K64" s="67">
        <f>Finishing!K12</f>
        <v>2.8</v>
      </c>
      <c r="L64" s="67">
        <f>Finishing!L12</f>
        <v>6</v>
      </c>
      <c r="M64" s="67">
        <f>Finishing!M12</f>
        <v>0</v>
      </c>
      <c r="N64" s="67">
        <f>Finishing!N12</f>
        <v>2</v>
      </c>
      <c r="O64" s="67">
        <f>Finishing!O12</f>
        <v>4</v>
      </c>
      <c r="P64" s="5">
        <f t="shared" si="3"/>
        <v>1.7</v>
      </c>
      <c r="Q64" s="5">
        <f t="shared" si="4"/>
        <v>1.7499999999999996</v>
      </c>
      <c r="R64" s="5">
        <f t="shared" si="5"/>
        <v>4.1999999999999993</v>
      </c>
      <c r="S64" s="5">
        <f t="shared" si="6"/>
        <v>3.0078878298943312</v>
      </c>
    </row>
    <row r="65" spans="1:19" x14ac:dyDescent="0.75">
      <c r="A65" s="5">
        <f t="shared" si="1"/>
        <v>138</v>
      </c>
      <c r="B65" s="5">
        <f t="shared" si="0"/>
        <v>78.857142857142861</v>
      </c>
      <c r="C65" s="5">
        <f t="shared" si="2"/>
        <v>215.39439149471656</v>
      </c>
      <c r="D65" s="67">
        <f>Finishing!D13</f>
        <v>0.34374155492040259</v>
      </c>
      <c r="E65" s="67">
        <f>Finishing!E13</f>
        <v>12.137025449151981</v>
      </c>
      <c r="F65" s="67">
        <f>Finishing!F13</f>
        <v>0.11</v>
      </c>
      <c r="G65" s="68">
        <f>Finishing!G13</f>
        <v>0</v>
      </c>
      <c r="H65" s="68">
        <f>Finishing!H13</f>
        <v>0.15</v>
      </c>
      <c r="I65" s="68">
        <f>Finishing!I13</f>
        <v>0.4</v>
      </c>
      <c r="J65" s="68">
        <f>Finishing!J13</f>
        <v>2E-3</v>
      </c>
      <c r="K65" s="67">
        <f>Finishing!K13</f>
        <v>2.9</v>
      </c>
      <c r="L65" s="67">
        <f>Finishing!L13</f>
        <v>6</v>
      </c>
      <c r="M65" s="67">
        <f>Finishing!M13</f>
        <v>0</v>
      </c>
      <c r="N65" s="67">
        <f>Finishing!N13</f>
        <v>2.75</v>
      </c>
      <c r="O65" s="67">
        <f>Finishing!O13</f>
        <v>3</v>
      </c>
      <c r="P65" s="5">
        <f t="shared" si="3"/>
        <v>1.7</v>
      </c>
      <c r="Q65" s="5">
        <f t="shared" si="4"/>
        <v>1.8999999999999995</v>
      </c>
      <c r="R65" s="5">
        <f t="shared" si="5"/>
        <v>4.5999999999999996</v>
      </c>
      <c r="S65" s="5">
        <f t="shared" si="6"/>
        <v>3.5897203058843594</v>
      </c>
    </row>
    <row r="66" spans="1:19" x14ac:dyDescent="0.75">
      <c r="A66" s="5">
        <f t="shared" si="1"/>
        <v>148</v>
      </c>
      <c r="B66" s="5">
        <f t="shared" si="0"/>
        <v>84.571428571428569</v>
      </c>
      <c r="C66" s="5">
        <f t="shared" si="2"/>
        <v>244.48601529421796</v>
      </c>
      <c r="D66" s="67">
        <f>Finishing!D14</f>
        <v>0.29511059472295603</v>
      </c>
      <c r="E66" s="67">
        <f>Finishing!E14</f>
        <v>14.130295809659806</v>
      </c>
      <c r="F66" s="67">
        <f>Finishing!F14</f>
        <v>0.11</v>
      </c>
      <c r="G66" s="68">
        <f>Finishing!G14</f>
        <v>0</v>
      </c>
      <c r="H66" s="68">
        <f>Finishing!H14</f>
        <v>0.15</v>
      </c>
      <c r="I66" s="68">
        <f>Finishing!I14</f>
        <v>0.4</v>
      </c>
      <c r="J66" s="68">
        <f>Finishing!J14</f>
        <v>2E-3</v>
      </c>
      <c r="K66" s="67">
        <f>Finishing!K14</f>
        <v>3</v>
      </c>
      <c r="L66" s="67">
        <f>Finishing!L14</f>
        <v>6.5</v>
      </c>
      <c r="M66" s="67">
        <f>Finishing!M14</f>
        <v>3.5</v>
      </c>
      <c r="N66" s="67">
        <f>Finishing!N14</f>
        <v>2.75</v>
      </c>
      <c r="O66" s="67">
        <f>Finishing!O14</f>
        <v>3</v>
      </c>
      <c r="P66" s="5">
        <f t="shared" si="3"/>
        <v>1.7</v>
      </c>
      <c r="Q66" s="5">
        <f t="shared" si="4"/>
        <v>2.0499999999999994</v>
      </c>
      <c r="R66" s="5">
        <f t="shared" si="5"/>
        <v>5</v>
      </c>
      <c r="S66" s="5">
        <f t="shared" si="6"/>
        <v>4.2674323351246386</v>
      </c>
    </row>
    <row r="67" spans="1:19" x14ac:dyDescent="0.75">
      <c r="A67" s="5">
        <f t="shared" si="1"/>
        <v>158</v>
      </c>
      <c r="B67" s="5">
        <f t="shared" si="0"/>
        <v>90.285714285714278</v>
      </c>
      <c r="C67" s="5">
        <f t="shared" si="2"/>
        <v>278.3716167562319</v>
      </c>
      <c r="D67" s="67">
        <f>Finishing!D15</f>
        <v>0.25073374395891568</v>
      </c>
      <c r="E67" s="67">
        <f>Finishing!E15</f>
        <v>16.463679498505787</v>
      </c>
      <c r="F67" s="67">
        <f>Finishing!F15</f>
        <v>0.11</v>
      </c>
      <c r="G67" s="68">
        <f>Finishing!G15</f>
        <v>0</v>
      </c>
      <c r="H67" s="68">
        <f>Finishing!H15</f>
        <v>0.15</v>
      </c>
      <c r="I67" s="68">
        <f>Finishing!I15</f>
        <v>0.4</v>
      </c>
      <c r="J67" s="68">
        <f>Finishing!J15</f>
        <v>2E-3</v>
      </c>
      <c r="K67" s="67">
        <f>Finishing!K15</f>
        <v>3.1</v>
      </c>
      <c r="L67" s="67">
        <f>Finishing!L15</f>
        <v>6.5</v>
      </c>
      <c r="M67" s="67">
        <f>Finishing!M15</f>
        <v>3.5</v>
      </c>
      <c r="N67" s="67">
        <f>Finishing!N15</f>
        <v>2.75</v>
      </c>
      <c r="O67" s="67">
        <f>Finishing!O15</f>
        <v>3</v>
      </c>
      <c r="P67" s="5">
        <f t="shared" si="3"/>
        <v>1.7</v>
      </c>
      <c r="Q67" s="5">
        <f t="shared" si="4"/>
        <v>2.1999999999999993</v>
      </c>
      <c r="R67" s="5">
        <f t="shared" si="5"/>
        <v>5.4</v>
      </c>
      <c r="S67" s="5">
        <f t="shared" si="6"/>
        <v>5.0650912255561211</v>
      </c>
    </row>
    <row r="68" spans="1:19" x14ac:dyDescent="0.75">
      <c r="A68" s="5">
        <f t="shared" si="1"/>
        <v>168</v>
      </c>
      <c r="B68" s="5">
        <f t="shared" si="0"/>
        <v>96</v>
      </c>
      <c r="C68" s="5">
        <f t="shared" si="2"/>
        <v>318.25456127780603</v>
      </c>
      <c r="D68" s="67">
        <f>Finishing!D16</f>
        <v>0.20997477820430568</v>
      </c>
      <c r="E68" s="67">
        <f>Finishing!E16</f>
        <v>19.268980944288639</v>
      </c>
      <c r="F68" s="67">
        <f>Finishing!F16</f>
        <v>0.11</v>
      </c>
      <c r="G68" s="68">
        <f>Finishing!G16</f>
        <v>0</v>
      </c>
      <c r="H68" s="68">
        <f>Finishing!H16</f>
        <v>0.15</v>
      </c>
      <c r="I68" s="68">
        <f>Finishing!I16</f>
        <v>0.4</v>
      </c>
      <c r="J68" s="68">
        <f>Finishing!J16</f>
        <v>2E-3</v>
      </c>
      <c r="K68" s="67">
        <f>Finishing!K16</f>
        <v>3.2</v>
      </c>
      <c r="L68" s="67">
        <f>Finishing!L16</f>
        <v>6</v>
      </c>
      <c r="M68" s="67">
        <f>Finishing!M16</f>
        <v>3.5</v>
      </c>
      <c r="N68" s="67">
        <f>Finishing!N16</f>
        <v>2.75</v>
      </c>
      <c r="O68" s="67">
        <f>Finishing!O16</f>
        <v>3</v>
      </c>
      <c r="P68" s="5">
        <f t="shared" si="3"/>
        <v>1.7</v>
      </c>
      <c r="Q68" s="5">
        <f t="shared" si="4"/>
        <v>2.3499999999999992</v>
      </c>
      <c r="R68" s="5">
        <f t="shared" si="5"/>
        <v>5.8000000000000007</v>
      </c>
      <c r="S68" s="5">
        <f t="shared" si="6"/>
        <v>6.017586576237715</v>
      </c>
    </row>
    <row r="69" spans="1:19" x14ac:dyDescent="0.75">
      <c r="A69" s="5">
        <f t="shared" si="1"/>
        <v>178</v>
      </c>
      <c r="B69" s="5">
        <f t="shared" si="0"/>
        <v>101.71428571428571</v>
      </c>
      <c r="C69" s="5">
        <f t="shared" si="2"/>
        <v>365.87932881188573</v>
      </c>
      <c r="D69" s="67">
        <f>Finishing!D17</f>
        <v>0</v>
      </c>
      <c r="E69" s="67">
        <f>Finishing!E17</f>
        <v>0</v>
      </c>
      <c r="F69" s="67">
        <f>Finishing!F17</f>
        <v>0.11</v>
      </c>
      <c r="G69" s="68">
        <f>Finishing!G17</f>
        <v>0</v>
      </c>
      <c r="H69" s="68">
        <f>Finishing!H17</f>
        <v>0.15</v>
      </c>
      <c r="I69" s="68">
        <f>Finishing!I17</f>
        <v>0.4</v>
      </c>
      <c r="J69" s="68">
        <f>Finishing!J17</f>
        <v>2E-3</v>
      </c>
      <c r="K69" s="67">
        <f>Finishing!K17</f>
        <v>3.3</v>
      </c>
      <c r="L69" s="67">
        <f>Finishing!L17</f>
        <v>6</v>
      </c>
      <c r="M69" s="67">
        <f>Finishing!M17</f>
        <v>3.5</v>
      </c>
      <c r="N69" s="67">
        <f>Finishing!N17</f>
        <v>2.75</v>
      </c>
      <c r="O69" s="67">
        <f>Finishing!O17</f>
        <v>3</v>
      </c>
      <c r="P69" s="5">
        <f t="shared" si="3"/>
        <v>1.7</v>
      </c>
      <c r="Q69" s="5">
        <f t="shared" si="4"/>
        <v>2.4999999999999991</v>
      </c>
      <c r="R69" s="5">
        <f t="shared" si="5"/>
        <v>6.2000000000000011</v>
      </c>
      <c r="S69" s="5" t="e">
        <f t="shared" si="6"/>
        <v>#DIV/0!</v>
      </c>
    </row>
    <row r="70" spans="1:19" x14ac:dyDescent="0.75">
      <c r="A70" s="5">
        <f t="shared" si="1"/>
        <v>188</v>
      </c>
      <c r="B70" s="5">
        <f t="shared" si="0"/>
        <v>107.42857142857143</v>
      </c>
      <c r="C70" s="5" t="e">
        <f t="shared" si="2"/>
        <v>#DIV/0!</v>
      </c>
      <c r="D70" s="67">
        <f>Finishing!D18</f>
        <v>0</v>
      </c>
      <c r="E70" s="67">
        <f>Finishing!E18</f>
        <v>0</v>
      </c>
      <c r="F70" s="67">
        <f>Finishing!F18</f>
        <v>0.11</v>
      </c>
      <c r="G70" s="68">
        <f>Finishing!G18</f>
        <v>0</v>
      </c>
      <c r="H70" s="68">
        <f>Finishing!H18</f>
        <v>0.15</v>
      </c>
      <c r="I70" s="68">
        <f>Finishing!I18</f>
        <v>0.4</v>
      </c>
      <c r="J70" s="68">
        <f>Finishing!J18</f>
        <v>2E-3</v>
      </c>
      <c r="K70" s="67">
        <f>Finishing!K18</f>
        <v>3.4</v>
      </c>
      <c r="L70" s="67">
        <f>Finishing!L18</f>
        <v>6</v>
      </c>
      <c r="M70" s="67">
        <f>Finishing!M18</f>
        <v>3.5</v>
      </c>
      <c r="N70" s="67">
        <f>Finishing!N18</f>
        <v>2.75</v>
      </c>
      <c r="O70" s="67">
        <f>Finishing!O18</f>
        <v>3</v>
      </c>
      <c r="P70" s="5">
        <f t="shared" si="3"/>
        <v>1.7</v>
      </c>
      <c r="Q70" s="5">
        <f t="shared" si="4"/>
        <v>2.649999999999999</v>
      </c>
      <c r="R70" s="5">
        <f t="shared" si="5"/>
        <v>6.6000000000000014</v>
      </c>
      <c r="S70" s="5" t="e">
        <f>J70*(C70-C69)*$B$29+S69</f>
        <v>#DIV/0!</v>
      </c>
    </row>
    <row r="72" spans="1:19" x14ac:dyDescent="0.75">
      <c r="A72" s="1" t="s">
        <v>89</v>
      </c>
      <c r="B72" s="3"/>
      <c r="C72" s="3"/>
      <c r="D72" s="3"/>
      <c r="E72" s="3"/>
      <c r="F72" s="4"/>
      <c r="G72" s="3"/>
      <c r="H72" s="5"/>
      <c r="I72" s="3"/>
      <c r="J72" s="3" t="s">
        <v>128</v>
      </c>
      <c r="K72" s="3"/>
      <c r="L72" s="3"/>
      <c r="M72" s="3"/>
      <c r="N72" s="3"/>
      <c r="O72" s="5"/>
      <c r="P72" s="3"/>
      <c r="Q72" s="5"/>
      <c r="R72" s="5"/>
      <c r="S72" s="5"/>
    </row>
    <row r="73" spans="1:19" x14ac:dyDescent="0.75">
      <c r="A73" s="3" t="s">
        <v>0</v>
      </c>
      <c r="B73" s="3" t="s">
        <v>1</v>
      </c>
      <c r="C73" s="3" t="s">
        <v>90</v>
      </c>
      <c r="D73" s="3" t="s">
        <v>90</v>
      </c>
      <c r="E73" s="3" t="s">
        <v>91</v>
      </c>
      <c r="F73" s="3" t="s">
        <v>91</v>
      </c>
      <c r="G73" s="3" t="s">
        <v>92</v>
      </c>
      <c r="H73" s="3" t="s">
        <v>4</v>
      </c>
      <c r="I73" s="4" t="s">
        <v>5</v>
      </c>
      <c r="J73" s="3" t="s">
        <v>5</v>
      </c>
      <c r="K73" s="5" t="s">
        <v>129</v>
      </c>
      <c r="L73" s="3" t="s">
        <v>20</v>
      </c>
      <c r="M73" s="3" t="s">
        <v>122</v>
      </c>
      <c r="N73" s="3" t="s">
        <v>94</v>
      </c>
      <c r="O73" s="3" t="s">
        <v>95</v>
      </c>
      <c r="P73" s="5" t="s">
        <v>115</v>
      </c>
      <c r="Q73" s="5" t="s">
        <v>116</v>
      </c>
      <c r="R73" s="5" t="s">
        <v>113</v>
      </c>
      <c r="S73" s="5"/>
    </row>
    <row r="74" spans="1:19" x14ac:dyDescent="0.75">
      <c r="A74" s="3" t="s">
        <v>24</v>
      </c>
      <c r="B74" s="3" t="s">
        <v>11</v>
      </c>
      <c r="C74" s="3" t="s">
        <v>76</v>
      </c>
      <c r="D74" s="3" t="s">
        <v>174</v>
      </c>
      <c r="E74" s="3" t="s">
        <v>76</v>
      </c>
      <c r="F74" s="3" t="s">
        <v>93</v>
      </c>
      <c r="G74" s="3" t="s">
        <v>76</v>
      </c>
      <c r="H74" s="3" t="s">
        <v>73</v>
      </c>
      <c r="I74" s="4" t="s">
        <v>74</v>
      </c>
      <c r="J74" s="3" t="s">
        <v>75</v>
      </c>
      <c r="K74" s="5" t="s">
        <v>76</v>
      </c>
      <c r="L74" s="3" t="s">
        <v>76</v>
      </c>
      <c r="M74" s="3" t="s">
        <v>76</v>
      </c>
      <c r="N74" s="3" t="s">
        <v>120</v>
      </c>
      <c r="O74" s="3" t="s">
        <v>121</v>
      </c>
      <c r="P74" s="3" t="s">
        <v>117</v>
      </c>
      <c r="Q74" s="3" t="s">
        <v>117</v>
      </c>
      <c r="R74" s="3" t="s">
        <v>117</v>
      </c>
      <c r="S74" s="5"/>
    </row>
    <row r="75" spans="1:19" x14ac:dyDescent="0.75">
      <c r="A75" s="11">
        <f>Finishing!A4</f>
        <v>48</v>
      </c>
      <c r="B75" s="15">
        <f>Comparisons!D31</f>
        <v>2.4</v>
      </c>
      <c r="C75" s="48">
        <f t="shared" ref="C75:C89" si="7">G75-E75-F75</f>
        <v>20.693848396157637</v>
      </c>
      <c r="D75" s="48">
        <f>C75*$B$26*(1-Q56/100)</f>
        <v>31.811168119880836</v>
      </c>
      <c r="E75" s="49">
        <f t="shared" ref="E75:E89" si="8">K75+M75+P56+R56+S56+K56+L56+M56+(N75+O75+P75+Q75)</f>
        <v>105.47077123681372</v>
      </c>
      <c r="F75" s="49">
        <f t="shared" ref="F75:F89" si="9">(K75+P56+R56+S56+M56+(N75+O75+P75+Q75))*(Q56/100)</f>
        <v>0.29740431371044118</v>
      </c>
      <c r="G75" s="49">
        <f t="shared" ref="G75:G89" si="10">L75+N56+R75</f>
        <v>126.4620239466818</v>
      </c>
      <c r="H75" s="5">
        <f t="shared" ref="H75:H89" si="11">D56*E56</f>
        <v>2.3899999999999997</v>
      </c>
      <c r="I75" s="5">
        <f t="shared" ref="I75:I89" si="12">H75*F56</f>
        <v>0.27484999999999998</v>
      </c>
      <c r="J75" s="5">
        <f t="shared" ref="J75:J88" si="13">I75*(C57-C56)</f>
        <v>3.437424181209618</v>
      </c>
      <c r="K75" s="5">
        <f>$B$12+J75</f>
        <v>3.437424181209618</v>
      </c>
      <c r="L75" s="5">
        <f t="shared" ref="L75:L89" si="14">A75*(1-O56/100)*B75</f>
        <v>109.43999999999998</v>
      </c>
      <c r="M75" s="5">
        <f t="shared" ref="M75:M89" si="15">0.007*A75</f>
        <v>0.33600000000000002</v>
      </c>
      <c r="N75" s="5">
        <f>$F$26/(1-$B$40/100)</f>
        <v>61.275973346462017</v>
      </c>
      <c r="O75" s="5">
        <f>$B$37/(1-$B$40/100)</f>
        <v>25.912275973552475</v>
      </c>
      <c r="P75" s="5">
        <f>$B$45/(1-$B$40/100)</f>
        <v>4.6442609322827177</v>
      </c>
      <c r="Q75" s="5">
        <f>$B$48/(1-$B$40/100)</f>
        <v>1.7647058823529411</v>
      </c>
      <c r="R75" s="5">
        <f>$B$51/(1-$B$40/100)</f>
        <v>15.022023946681815</v>
      </c>
      <c r="S75" s="5"/>
    </row>
    <row r="76" spans="1:19" x14ac:dyDescent="0.75">
      <c r="A76" s="11">
        <f>Finishing!A5</f>
        <v>58</v>
      </c>
      <c r="B76" s="15">
        <f>Comparisons!D32</f>
        <v>2.2999999999999998</v>
      </c>
      <c r="C76" s="48">
        <f t="shared" si="7"/>
        <v>32.917389269106529</v>
      </c>
      <c r="D76" s="48">
        <f t="shared" ref="D76:D89" si="16">C76*$B$26*(1-Q57/100)</f>
        <v>50.449278920267211</v>
      </c>
      <c r="E76" s="49">
        <f t="shared" si="8"/>
        <v>110.2123962997766</v>
      </c>
      <c r="F76" s="49">
        <f t="shared" si="9"/>
        <v>0.62223837779865965</v>
      </c>
      <c r="G76" s="49">
        <f t="shared" si="10"/>
        <v>143.75202394668179</v>
      </c>
      <c r="H76" s="5">
        <f t="shared" si="11"/>
        <v>2.7479999999999998</v>
      </c>
      <c r="I76" s="5">
        <f t="shared" si="12"/>
        <v>0.31601999999999997</v>
      </c>
      <c r="J76" s="5">
        <f t="shared" si="13"/>
        <v>3.9233288268481945</v>
      </c>
      <c r="K76" s="5">
        <f t="shared" ref="K76:K89" si="17">J76+K75</f>
        <v>7.360753008057813</v>
      </c>
      <c r="L76" s="5">
        <f t="shared" si="14"/>
        <v>126.72999999999998</v>
      </c>
      <c r="M76" s="5">
        <f t="shared" si="15"/>
        <v>0.40600000000000003</v>
      </c>
      <c r="N76" s="5">
        <f t="shared" ref="N76:N89" si="18">$F$26/(1-$B$40/100)</f>
        <v>61.275973346462017</v>
      </c>
      <c r="O76" s="5">
        <f t="shared" ref="O76:O89" si="19">$B$37/(1-$B$40/100)</f>
        <v>25.912275973552475</v>
      </c>
      <c r="P76" s="5">
        <f t="shared" ref="P76:P89" si="20">$B$45/(1-$B$40/100)</f>
        <v>4.6442609322827177</v>
      </c>
      <c r="Q76" s="5">
        <f t="shared" ref="Q76:Q89" si="21">$B$48/(1-$B$40/100)</f>
        <v>1.7647058823529411</v>
      </c>
      <c r="R76" s="5">
        <f t="shared" ref="R76:R89" si="22">$B$51/(1-$B$40/100)</f>
        <v>15.022023946681815</v>
      </c>
      <c r="S76" s="5"/>
    </row>
    <row r="77" spans="1:19" x14ac:dyDescent="0.75">
      <c r="A77" s="11">
        <f>Finishing!A6</f>
        <v>68</v>
      </c>
      <c r="B77" s="15">
        <f>Comparisons!D33</f>
        <v>2.25</v>
      </c>
      <c r="C77" s="48">
        <f t="shared" si="7"/>
        <v>45.407349669705269</v>
      </c>
      <c r="D77" s="48">
        <f t="shared" si="16"/>
        <v>69.451402679074505</v>
      </c>
      <c r="E77" s="49">
        <f t="shared" si="8"/>
        <v>116.09333559223865</v>
      </c>
      <c r="F77" s="49">
        <f t="shared" si="9"/>
        <v>0.87133868473790921</v>
      </c>
      <c r="G77" s="49">
        <f t="shared" si="10"/>
        <v>162.37202394668182</v>
      </c>
      <c r="H77" s="5">
        <f t="shared" si="11"/>
        <v>3.0659999999999994</v>
      </c>
      <c r="I77" s="5">
        <f t="shared" si="12"/>
        <v>0.35258999999999996</v>
      </c>
      <c r="J77" s="5">
        <f t="shared" si="13"/>
        <v>4.5526962213940081</v>
      </c>
      <c r="K77" s="5">
        <f t="shared" si="17"/>
        <v>11.913449229451821</v>
      </c>
      <c r="L77" s="5">
        <f t="shared" si="14"/>
        <v>145.35</v>
      </c>
      <c r="M77" s="5">
        <f t="shared" si="15"/>
        <v>0.47600000000000003</v>
      </c>
      <c r="N77" s="5">
        <f t="shared" si="18"/>
        <v>61.275973346462017</v>
      </c>
      <c r="O77" s="5">
        <f t="shared" si="19"/>
        <v>25.912275973552475</v>
      </c>
      <c r="P77" s="5">
        <f t="shared" si="20"/>
        <v>4.6442609322827177</v>
      </c>
      <c r="Q77" s="5">
        <f t="shared" si="21"/>
        <v>1.7647058823529411</v>
      </c>
      <c r="R77" s="5">
        <f t="shared" si="22"/>
        <v>15.022023946681815</v>
      </c>
      <c r="S77" s="5"/>
    </row>
    <row r="78" spans="1:19" x14ac:dyDescent="0.75">
      <c r="A78" s="11">
        <f>Finishing!A7</f>
        <v>78</v>
      </c>
      <c r="B78" s="15">
        <f>Comparisons!D34</f>
        <v>2.15</v>
      </c>
      <c r="C78" s="48">
        <f t="shared" si="7"/>
        <v>52.91036321518159</v>
      </c>
      <c r="D78" s="48">
        <f t="shared" si="16"/>
        <v>80.764244136880876</v>
      </c>
      <c r="E78" s="49">
        <f t="shared" si="8"/>
        <v>122.27734725891109</v>
      </c>
      <c r="F78" s="49">
        <f t="shared" si="9"/>
        <v>1.149313472589111</v>
      </c>
      <c r="G78" s="49">
        <f t="shared" si="10"/>
        <v>176.3370239466818</v>
      </c>
      <c r="H78" s="5">
        <f t="shared" si="11"/>
        <v>3.3440000000000007</v>
      </c>
      <c r="I78" s="5">
        <f t="shared" si="12"/>
        <v>0.38456000000000012</v>
      </c>
      <c r="J78" s="5">
        <f t="shared" si="13"/>
        <v>5.33647500132379</v>
      </c>
      <c r="K78" s="5">
        <f t="shared" si="17"/>
        <v>17.249924230775612</v>
      </c>
      <c r="L78" s="5">
        <f t="shared" si="14"/>
        <v>159.31499999999997</v>
      </c>
      <c r="M78" s="5">
        <f t="shared" si="15"/>
        <v>0.54600000000000004</v>
      </c>
      <c r="N78" s="5">
        <f t="shared" si="18"/>
        <v>61.275973346462017</v>
      </c>
      <c r="O78" s="5">
        <f t="shared" si="19"/>
        <v>25.912275973552475</v>
      </c>
      <c r="P78" s="5">
        <f t="shared" si="20"/>
        <v>4.6442609322827177</v>
      </c>
      <c r="Q78" s="5">
        <f t="shared" si="21"/>
        <v>1.7647058823529411</v>
      </c>
      <c r="R78" s="5">
        <f t="shared" si="22"/>
        <v>15.022023946681815</v>
      </c>
      <c r="S78" s="5"/>
    </row>
    <row r="79" spans="1:19" x14ac:dyDescent="0.75">
      <c r="A79" s="11">
        <f>Finishing!A8</f>
        <v>88</v>
      </c>
      <c r="B79" s="15">
        <f>Comparisons!D35</f>
        <v>2.0499999999999998</v>
      </c>
      <c r="C79" s="48">
        <f t="shared" si="7"/>
        <v>58.866022995088684</v>
      </c>
      <c r="D79" s="48">
        <f t="shared" si="16"/>
        <v>89.719029031537417</v>
      </c>
      <c r="E79" s="49">
        <f t="shared" si="8"/>
        <v>129.93789911180733</v>
      </c>
      <c r="F79" s="49">
        <f t="shared" si="9"/>
        <v>1.4021018397857841</v>
      </c>
      <c r="G79" s="49">
        <f t="shared" si="10"/>
        <v>190.2060239466818</v>
      </c>
      <c r="H79" s="5">
        <f t="shared" si="11"/>
        <v>3.5819999999999994</v>
      </c>
      <c r="I79" s="5">
        <f t="shared" si="12"/>
        <v>0.41192999999999996</v>
      </c>
      <c r="J79" s="5">
        <f t="shared" si="13"/>
        <v>6.2853842631063808</v>
      </c>
      <c r="K79" s="5">
        <f t="shared" si="17"/>
        <v>23.535308493881992</v>
      </c>
      <c r="L79" s="5">
        <f t="shared" si="14"/>
        <v>173.18399999999997</v>
      </c>
      <c r="M79" s="5">
        <f t="shared" si="15"/>
        <v>0.61599999999999999</v>
      </c>
      <c r="N79" s="5">
        <f t="shared" si="18"/>
        <v>61.275973346462017</v>
      </c>
      <c r="O79" s="5">
        <f t="shared" si="19"/>
        <v>25.912275973552475</v>
      </c>
      <c r="P79" s="5">
        <f t="shared" si="20"/>
        <v>4.6442609322827177</v>
      </c>
      <c r="Q79" s="5">
        <f t="shared" si="21"/>
        <v>1.7647058823529411</v>
      </c>
      <c r="R79" s="5">
        <f t="shared" si="22"/>
        <v>15.022023946681815</v>
      </c>
      <c r="S79" s="5"/>
    </row>
    <row r="80" spans="1:19" x14ac:dyDescent="0.75">
      <c r="A80" s="11">
        <f>Finishing!A9</f>
        <v>98</v>
      </c>
      <c r="B80" s="15">
        <f>Comparisons!D36</f>
        <v>1.95</v>
      </c>
      <c r="C80" s="48">
        <f t="shared" si="7"/>
        <v>60.854602941332544</v>
      </c>
      <c r="D80" s="48">
        <f t="shared" si="16"/>
        <v>92.609125082281153</v>
      </c>
      <c r="E80" s="49">
        <f t="shared" si="8"/>
        <v>137.93666239422436</v>
      </c>
      <c r="F80" s="49">
        <f t="shared" si="9"/>
        <v>1.6867586111249162</v>
      </c>
      <c r="G80" s="49">
        <f t="shared" si="10"/>
        <v>200.47802394668182</v>
      </c>
      <c r="H80" s="5">
        <f t="shared" si="11"/>
        <v>3.7800000000000002</v>
      </c>
      <c r="I80" s="5">
        <f t="shared" si="12"/>
        <v>0.4158</v>
      </c>
      <c r="J80" s="5">
        <f t="shared" si="13"/>
        <v>7.0878379367347586</v>
      </c>
      <c r="K80" s="5">
        <f t="shared" si="17"/>
        <v>30.62314643061675</v>
      </c>
      <c r="L80" s="5">
        <f t="shared" si="14"/>
        <v>183.45599999999999</v>
      </c>
      <c r="M80" s="5">
        <f t="shared" si="15"/>
        <v>0.68600000000000005</v>
      </c>
      <c r="N80" s="5">
        <f t="shared" si="18"/>
        <v>61.275973346462017</v>
      </c>
      <c r="O80" s="5">
        <f t="shared" si="19"/>
        <v>25.912275973552475</v>
      </c>
      <c r="P80" s="5">
        <f t="shared" si="20"/>
        <v>4.6442609322827177</v>
      </c>
      <c r="Q80" s="5">
        <f t="shared" si="21"/>
        <v>1.7647058823529411</v>
      </c>
      <c r="R80" s="5">
        <f t="shared" si="22"/>
        <v>15.022023946681815</v>
      </c>
      <c r="S80" s="5"/>
    </row>
    <row r="81" spans="1:19" x14ac:dyDescent="0.75">
      <c r="A81" s="11">
        <f>Finishing!A10</f>
        <v>108</v>
      </c>
      <c r="B81" s="15">
        <f>Comparisons!D37</f>
        <v>1.85</v>
      </c>
      <c r="C81" s="48">
        <f t="shared" si="7"/>
        <v>58.219531075644021</v>
      </c>
      <c r="D81" s="48">
        <f t="shared" si="16"/>
        <v>88.464398147463413</v>
      </c>
      <c r="E81" s="49">
        <f t="shared" si="8"/>
        <v>148.58443062694707</v>
      </c>
      <c r="F81" s="49">
        <f t="shared" si="9"/>
        <v>2.0260622440907321</v>
      </c>
      <c r="G81" s="49">
        <f t="shared" si="10"/>
        <v>208.83002394668182</v>
      </c>
      <c r="H81" s="5">
        <f t="shared" si="11"/>
        <v>3.9379999999999988</v>
      </c>
      <c r="I81" s="5">
        <f t="shared" si="12"/>
        <v>0.4331799999999999</v>
      </c>
      <c r="J81" s="5">
        <f t="shared" si="13"/>
        <v>8.3425893531286146</v>
      </c>
      <c r="K81" s="5">
        <f t="shared" si="17"/>
        <v>38.965735783745366</v>
      </c>
      <c r="L81" s="5">
        <f t="shared" si="14"/>
        <v>191.80799999999999</v>
      </c>
      <c r="M81" s="5">
        <f t="shared" si="15"/>
        <v>0.75600000000000001</v>
      </c>
      <c r="N81" s="5">
        <f t="shared" si="18"/>
        <v>61.275973346462017</v>
      </c>
      <c r="O81" s="5">
        <f t="shared" si="19"/>
        <v>25.912275973552475</v>
      </c>
      <c r="P81" s="5">
        <f t="shared" si="20"/>
        <v>4.6442609322827177</v>
      </c>
      <c r="Q81" s="5">
        <f t="shared" si="21"/>
        <v>1.7647058823529411</v>
      </c>
      <c r="R81" s="5">
        <f t="shared" si="22"/>
        <v>15.022023946681815</v>
      </c>
      <c r="S81" s="5"/>
    </row>
    <row r="82" spans="1:19" x14ac:dyDescent="0.75">
      <c r="A82" s="11">
        <f>Finishing!A11</f>
        <v>118</v>
      </c>
      <c r="B82" s="15">
        <f>Comparisons!D38</f>
        <v>1.68</v>
      </c>
      <c r="C82" s="48">
        <f t="shared" si="7"/>
        <v>45.543455522732629</v>
      </c>
      <c r="D82" s="48">
        <f t="shared" si="16"/>
        <v>69.097808363450582</v>
      </c>
      <c r="E82" s="49">
        <f t="shared" si="8"/>
        <v>159.38325238577676</v>
      </c>
      <c r="F82" s="49">
        <f t="shared" si="9"/>
        <v>2.4057160381724279</v>
      </c>
      <c r="G82" s="49">
        <f t="shared" si="10"/>
        <v>207.33242394668181</v>
      </c>
      <c r="H82" s="5">
        <f t="shared" si="11"/>
        <v>4.056</v>
      </c>
      <c r="I82" s="5">
        <f t="shared" si="12"/>
        <v>0.44616</v>
      </c>
      <c r="J82" s="5">
        <f t="shared" si="13"/>
        <v>9.7899672128013098</v>
      </c>
      <c r="K82" s="5">
        <f t="shared" si="17"/>
        <v>48.755702996546674</v>
      </c>
      <c r="L82" s="5">
        <f t="shared" si="14"/>
        <v>190.31039999999999</v>
      </c>
      <c r="M82" s="5">
        <f t="shared" si="15"/>
        <v>0.82600000000000007</v>
      </c>
      <c r="N82" s="5">
        <f t="shared" si="18"/>
        <v>61.275973346462017</v>
      </c>
      <c r="O82" s="5">
        <f t="shared" si="19"/>
        <v>25.912275973552475</v>
      </c>
      <c r="P82" s="5">
        <f t="shared" si="20"/>
        <v>4.6442609322827177</v>
      </c>
      <c r="Q82" s="5">
        <f t="shared" si="21"/>
        <v>1.7647058823529411</v>
      </c>
      <c r="R82" s="5">
        <f t="shared" si="22"/>
        <v>15.022023946681815</v>
      </c>
      <c r="S82" s="5"/>
    </row>
    <row r="83" spans="1:19" x14ac:dyDescent="0.75">
      <c r="A83" s="11">
        <f>Finishing!A12</f>
        <v>128</v>
      </c>
      <c r="B83" s="15">
        <f>Comparisons!D39</f>
        <v>1.65</v>
      </c>
      <c r="C83" s="48">
        <f t="shared" si="7"/>
        <v>44.520469378217022</v>
      </c>
      <c r="D83" s="48">
        <f t="shared" si="16"/>
        <v>67.442783928037272</v>
      </c>
      <c r="E83" s="49">
        <f t="shared" si="8"/>
        <v>172.40612734001454</v>
      </c>
      <c r="F83" s="49">
        <f t="shared" si="9"/>
        <v>2.8474272284502535</v>
      </c>
      <c r="G83" s="49">
        <f t="shared" si="10"/>
        <v>219.77402394668181</v>
      </c>
      <c r="H83" s="5">
        <f t="shared" si="11"/>
        <v>4.1339999999999986</v>
      </c>
      <c r="I83" s="5">
        <f t="shared" si="12"/>
        <v>0.45473999999999987</v>
      </c>
      <c r="J83" s="5">
        <f t="shared" si="13"/>
        <v>11.449320378923376</v>
      </c>
      <c r="K83" s="5">
        <f t="shared" si="17"/>
        <v>60.205023375470049</v>
      </c>
      <c r="L83" s="5">
        <f t="shared" si="14"/>
        <v>202.75199999999998</v>
      </c>
      <c r="M83" s="5">
        <f t="shared" si="15"/>
        <v>0.89600000000000002</v>
      </c>
      <c r="N83" s="5">
        <f t="shared" si="18"/>
        <v>61.275973346462017</v>
      </c>
      <c r="O83" s="5">
        <f t="shared" si="19"/>
        <v>25.912275973552475</v>
      </c>
      <c r="P83" s="5">
        <f t="shared" si="20"/>
        <v>4.6442609322827177</v>
      </c>
      <c r="Q83" s="5">
        <f t="shared" si="21"/>
        <v>1.7647058823529411</v>
      </c>
      <c r="R83" s="5">
        <f t="shared" si="22"/>
        <v>15.022023946681815</v>
      </c>
      <c r="S83" s="5"/>
    </row>
    <row r="84" spans="1:19" x14ac:dyDescent="0.75">
      <c r="A84" s="11">
        <f>Finishing!A13</f>
        <v>138</v>
      </c>
      <c r="B84" s="15">
        <f>Comparisons!D40</f>
        <v>1.6</v>
      </c>
      <c r="C84" s="48">
        <f t="shared" si="7"/>
        <v>41.675525068218711</v>
      </c>
      <c r="D84" s="48">
        <f t="shared" si="16"/>
        <v>63.036672926253132</v>
      </c>
      <c r="E84" s="49">
        <f t="shared" si="8"/>
        <v>186.90868781007174</v>
      </c>
      <c r="F84" s="49">
        <f t="shared" si="9"/>
        <v>3.3638110683913625</v>
      </c>
      <c r="G84" s="49">
        <f t="shared" si="10"/>
        <v>231.94802394668181</v>
      </c>
      <c r="H84" s="5">
        <f t="shared" si="11"/>
        <v>4.1719999999999997</v>
      </c>
      <c r="I84" s="5">
        <f t="shared" si="12"/>
        <v>0.45891999999999999</v>
      </c>
      <c r="J84" s="5">
        <f t="shared" si="13"/>
        <v>13.350727994067185</v>
      </c>
      <c r="K84" s="5">
        <f t="shared" si="17"/>
        <v>73.555751369537234</v>
      </c>
      <c r="L84" s="5">
        <f t="shared" si="14"/>
        <v>214.17599999999999</v>
      </c>
      <c r="M84" s="5">
        <f t="shared" si="15"/>
        <v>0.96599999999999997</v>
      </c>
      <c r="N84" s="5">
        <f t="shared" si="18"/>
        <v>61.275973346462017</v>
      </c>
      <c r="O84" s="5">
        <f t="shared" si="19"/>
        <v>25.912275973552475</v>
      </c>
      <c r="P84" s="5">
        <f t="shared" si="20"/>
        <v>4.6442609322827177</v>
      </c>
      <c r="Q84" s="5">
        <f t="shared" si="21"/>
        <v>1.7647058823529411</v>
      </c>
      <c r="R84" s="5">
        <f t="shared" si="22"/>
        <v>15.022023946681815</v>
      </c>
      <c r="S84" s="5"/>
    </row>
    <row r="85" spans="1:19" x14ac:dyDescent="0.75">
      <c r="A85" s="11">
        <f>Finishing!A14</f>
        <v>148</v>
      </c>
      <c r="B85" s="15">
        <f>Comparisons!D41</f>
        <v>1.55</v>
      </c>
      <c r="C85" s="48">
        <f t="shared" si="7"/>
        <v>28.548442349530276</v>
      </c>
      <c r="D85" s="48">
        <f t="shared" si="16"/>
        <v>43.115165072129749</v>
      </c>
      <c r="E85" s="49">
        <f t="shared" si="8"/>
        <v>207.69972522993783</v>
      </c>
      <c r="F85" s="49">
        <f t="shared" si="9"/>
        <v>4.0418563672137244</v>
      </c>
      <c r="G85" s="49">
        <f t="shared" si="10"/>
        <v>240.29002394668183</v>
      </c>
      <c r="H85" s="5">
        <f t="shared" si="11"/>
        <v>4.169999999999999</v>
      </c>
      <c r="I85" s="5">
        <f t="shared" si="12"/>
        <v>0.45869999999999989</v>
      </c>
      <c r="J85" s="5">
        <f t="shared" si="13"/>
        <v>15.543325390625789</v>
      </c>
      <c r="K85" s="5">
        <f t="shared" si="17"/>
        <v>89.09907676016303</v>
      </c>
      <c r="L85" s="5">
        <f t="shared" si="14"/>
        <v>222.518</v>
      </c>
      <c r="M85" s="5">
        <f t="shared" si="15"/>
        <v>1.036</v>
      </c>
      <c r="N85" s="5">
        <f t="shared" si="18"/>
        <v>61.275973346462017</v>
      </c>
      <c r="O85" s="5">
        <f t="shared" si="19"/>
        <v>25.912275973552475</v>
      </c>
      <c r="P85" s="5">
        <f t="shared" si="20"/>
        <v>4.6442609322827177</v>
      </c>
      <c r="Q85" s="5">
        <f t="shared" si="21"/>
        <v>1.7647058823529411</v>
      </c>
      <c r="R85" s="5">
        <f t="shared" si="22"/>
        <v>15.022023946681815</v>
      </c>
      <c r="S85" s="5"/>
    </row>
    <row r="86" spans="1:19" x14ac:dyDescent="0.75">
      <c r="A86" s="11">
        <f>Finishing!A15</f>
        <v>158</v>
      </c>
      <c r="B86" s="15">
        <f>Comparisons!D42</f>
        <v>1.4</v>
      </c>
      <c r="C86" s="48">
        <f t="shared" si="7"/>
        <v>0.39622088344416273</v>
      </c>
      <c r="D86" s="48">
        <f t="shared" si="16"/>
        <v>0.59747455193262911</v>
      </c>
      <c r="E86" s="49">
        <f t="shared" si="8"/>
        <v>227.17743156872567</v>
      </c>
      <c r="F86" s="49">
        <f t="shared" si="9"/>
        <v>4.7623714945119628</v>
      </c>
      <c r="G86" s="49">
        <f t="shared" si="10"/>
        <v>232.33602394668179</v>
      </c>
      <c r="H86" s="5">
        <f t="shared" si="11"/>
        <v>4.1279999999999992</v>
      </c>
      <c r="I86" s="5">
        <f t="shared" si="12"/>
        <v>0.45407999999999993</v>
      </c>
      <c r="J86" s="5">
        <f t="shared" si="13"/>
        <v>18.110047448356379</v>
      </c>
      <c r="K86" s="5">
        <f t="shared" si="17"/>
        <v>107.20912420851941</v>
      </c>
      <c r="L86" s="5">
        <f t="shared" si="14"/>
        <v>214.56399999999996</v>
      </c>
      <c r="M86" s="5">
        <f t="shared" si="15"/>
        <v>1.1060000000000001</v>
      </c>
      <c r="N86" s="5">
        <f t="shared" si="18"/>
        <v>61.275973346462017</v>
      </c>
      <c r="O86" s="5">
        <f t="shared" si="19"/>
        <v>25.912275973552475</v>
      </c>
      <c r="P86" s="5">
        <f t="shared" si="20"/>
        <v>4.6442609322827177</v>
      </c>
      <c r="Q86" s="5">
        <f t="shared" si="21"/>
        <v>1.7647058823529411</v>
      </c>
      <c r="R86" s="5">
        <f t="shared" si="22"/>
        <v>15.022023946681815</v>
      </c>
      <c r="S86" s="5"/>
    </row>
    <row r="87" spans="1:19" x14ac:dyDescent="0.75">
      <c r="A87" s="11">
        <f>Finishing!A16</f>
        <v>168</v>
      </c>
      <c r="B87" s="15">
        <f>Comparisons!D43</f>
        <v>1.3</v>
      </c>
      <c r="C87" s="48">
        <f t="shared" si="7"/>
        <v>-25.392747451458845</v>
      </c>
      <c r="D87" s="48">
        <f t="shared" si="16"/>
        <v>-38.231834402936038</v>
      </c>
      <c r="E87" s="49">
        <f t="shared" si="8"/>
        <v>249.39580595812475</v>
      </c>
      <c r="F87" s="49">
        <f t="shared" si="9"/>
        <v>5.6169654400159308</v>
      </c>
      <c r="G87" s="49">
        <f t="shared" si="10"/>
        <v>229.62002394668184</v>
      </c>
      <c r="H87" s="5">
        <f t="shared" si="11"/>
        <v>4.0459999999999994</v>
      </c>
      <c r="I87" s="5">
        <f t="shared" si="12"/>
        <v>0.44505999999999996</v>
      </c>
      <c r="J87" s="5">
        <f t="shared" si="13"/>
        <v>21.195879038717507</v>
      </c>
      <c r="K87" s="5">
        <f t="shared" si="17"/>
        <v>128.40500324723692</v>
      </c>
      <c r="L87" s="5">
        <f t="shared" si="14"/>
        <v>211.84800000000001</v>
      </c>
      <c r="M87" s="5">
        <f t="shared" si="15"/>
        <v>1.1759999999999999</v>
      </c>
      <c r="N87" s="5">
        <f t="shared" si="18"/>
        <v>61.275973346462017</v>
      </c>
      <c r="O87" s="5">
        <f t="shared" si="19"/>
        <v>25.912275973552475</v>
      </c>
      <c r="P87" s="5">
        <f t="shared" si="20"/>
        <v>4.6442609322827177</v>
      </c>
      <c r="Q87" s="5">
        <f t="shared" si="21"/>
        <v>1.7647058823529411</v>
      </c>
      <c r="R87" s="5">
        <f t="shared" si="22"/>
        <v>15.022023946681815</v>
      </c>
      <c r="S87" s="5"/>
    </row>
    <row r="88" spans="1:19" x14ac:dyDescent="0.75">
      <c r="A88" s="11">
        <f>Finishing!A17</f>
        <v>178</v>
      </c>
      <c r="B88" s="15">
        <f>Comparisons!D44</f>
        <v>0</v>
      </c>
      <c r="C88" s="48" t="e">
        <f t="shared" si="7"/>
        <v>#DIV/0!</v>
      </c>
      <c r="D88" s="48" t="e">
        <f t="shared" si="16"/>
        <v>#DIV/0!</v>
      </c>
      <c r="E88" s="49" t="e">
        <f t="shared" si="8"/>
        <v>#DIV/0!</v>
      </c>
      <c r="F88" s="49" t="e">
        <f t="shared" si="9"/>
        <v>#DIV/0!</v>
      </c>
      <c r="G88" s="49">
        <f t="shared" si="10"/>
        <v>17.772023946681813</v>
      </c>
      <c r="H88" s="5">
        <f t="shared" si="11"/>
        <v>0</v>
      </c>
      <c r="I88" s="5">
        <f t="shared" si="12"/>
        <v>0</v>
      </c>
      <c r="J88" s="5" t="e">
        <f t="shared" si="13"/>
        <v>#DIV/0!</v>
      </c>
      <c r="K88" s="5" t="e">
        <f t="shared" si="17"/>
        <v>#DIV/0!</v>
      </c>
      <c r="L88" s="5">
        <f t="shared" si="14"/>
        <v>0</v>
      </c>
      <c r="M88" s="5">
        <f t="shared" si="15"/>
        <v>1.246</v>
      </c>
      <c r="N88" s="5">
        <f t="shared" si="18"/>
        <v>61.275973346462017</v>
      </c>
      <c r="O88" s="5">
        <f t="shared" si="19"/>
        <v>25.912275973552475</v>
      </c>
      <c r="P88" s="5">
        <f t="shared" si="20"/>
        <v>4.6442609322827177</v>
      </c>
      <c r="Q88" s="5">
        <f t="shared" si="21"/>
        <v>1.7647058823529411</v>
      </c>
      <c r="R88" s="5">
        <f t="shared" si="22"/>
        <v>15.022023946681815</v>
      </c>
      <c r="S88" s="5"/>
    </row>
    <row r="89" spans="1:19" x14ac:dyDescent="0.75">
      <c r="A89" s="11">
        <f>Finishing!A18</f>
        <v>188</v>
      </c>
      <c r="B89" s="15">
        <f>Comparisons!D45</f>
        <v>0</v>
      </c>
      <c r="C89" s="48" t="e">
        <f t="shared" si="7"/>
        <v>#DIV/0!</v>
      </c>
      <c r="D89" s="48" t="e">
        <f t="shared" si="16"/>
        <v>#DIV/0!</v>
      </c>
      <c r="E89" s="49" t="e">
        <f t="shared" si="8"/>
        <v>#DIV/0!</v>
      </c>
      <c r="F89" s="49" t="e">
        <f t="shared" si="9"/>
        <v>#DIV/0!</v>
      </c>
      <c r="G89" s="49">
        <f t="shared" si="10"/>
        <v>17.772023946681813</v>
      </c>
      <c r="H89" s="5">
        <f t="shared" si="11"/>
        <v>0</v>
      </c>
      <c r="I89" s="5">
        <f t="shared" si="12"/>
        <v>0</v>
      </c>
      <c r="J89" s="5" t="e">
        <f>I89*(C70-C69)</f>
        <v>#DIV/0!</v>
      </c>
      <c r="K89" s="5" t="e">
        <f t="shared" si="17"/>
        <v>#DIV/0!</v>
      </c>
      <c r="L89" s="5">
        <f t="shared" si="14"/>
        <v>0</v>
      </c>
      <c r="M89" s="5">
        <f t="shared" si="15"/>
        <v>1.3160000000000001</v>
      </c>
      <c r="N89" s="5">
        <f t="shared" si="18"/>
        <v>61.275973346462017</v>
      </c>
      <c r="O89" s="5">
        <f t="shared" si="19"/>
        <v>25.912275973552475</v>
      </c>
      <c r="P89" s="5">
        <f t="shared" si="20"/>
        <v>4.6442609322827177</v>
      </c>
      <c r="Q89" s="5">
        <f t="shared" si="21"/>
        <v>1.7647058823529411</v>
      </c>
      <c r="R89" s="5">
        <f t="shared" si="22"/>
        <v>15.022023946681815</v>
      </c>
      <c r="S89" s="5"/>
    </row>
    <row r="101" spans="1:19" x14ac:dyDescent="0.75">
      <c r="A101" s="1" t="s">
        <v>49</v>
      </c>
      <c r="B101" s="3"/>
      <c r="C101" s="12"/>
      <c r="D101" s="3"/>
      <c r="E101" s="1" t="s">
        <v>166</v>
      </c>
      <c r="F101" s="4"/>
      <c r="G101" s="3"/>
      <c r="H101" s="5"/>
      <c r="I101" s="3"/>
      <c r="J101" s="3"/>
      <c r="K101" s="3"/>
      <c r="L101" s="3"/>
      <c r="M101" s="3"/>
      <c r="N101" s="3"/>
      <c r="O101" s="5"/>
      <c r="P101" s="3"/>
      <c r="Q101" s="5"/>
      <c r="R101" s="5"/>
      <c r="S101" s="5"/>
    </row>
    <row r="102" spans="1:19" x14ac:dyDescent="0.75">
      <c r="A102" t="s">
        <v>13</v>
      </c>
      <c r="B102" s="61">
        <f>Comparisons!E3</f>
        <v>48</v>
      </c>
      <c r="C102" s="12" t="s">
        <v>9</v>
      </c>
      <c r="D102" s="3"/>
      <c r="E102" s="1"/>
      <c r="F102" s="4"/>
      <c r="G102" s="3"/>
      <c r="H102" s="5"/>
      <c r="I102" s="3"/>
      <c r="J102" s="3"/>
      <c r="K102" s="3"/>
      <c r="L102" s="3"/>
      <c r="M102" s="3"/>
      <c r="N102" s="3"/>
      <c r="O102" s="5"/>
      <c r="P102" s="3"/>
      <c r="Q102" s="5"/>
      <c r="R102" s="5"/>
      <c r="S102" s="5"/>
    </row>
    <row r="103" spans="1:19" x14ac:dyDescent="0.75">
      <c r="A103" t="s">
        <v>14</v>
      </c>
      <c r="B103" s="63">
        <f>Comparisons!E4</f>
        <v>65</v>
      </c>
      <c r="C103" s="12" t="s">
        <v>10</v>
      </c>
      <c r="D103" s="3"/>
      <c r="E103" s="1"/>
      <c r="F103" s="4"/>
      <c r="G103" s="3"/>
      <c r="H103" s="5"/>
      <c r="I103" s="3"/>
      <c r="J103" s="3"/>
      <c r="K103" s="3"/>
      <c r="L103" s="3"/>
      <c r="M103" s="3"/>
      <c r="N103" s="3"/>
      <c r="O103" s="5"/>
      <c r="P103" s="3"/>
      <c r="Q103" s="5"/>
      <c r="R103" s="5"/>
      <c r="S103" s="5"/>
    </row>
    <row r="104" spans="1:19" x14ac:dyDescent="0.75">
      <c r="A104" t="s">
        <v>15</v>
      </c>
      <c r="B104" s="63">
        <f>Comparisons!E5</f>
        <v>0</v>
      </c>
      <c r="C104" s="12" t="s">
        <v>10</v>
      </c>
      <c r="D104" s="3"/>
      <c r="E104" s="1"/>
      <c r="F104" s="4"/>
      <c r="G104" s="3"/>
      <c r="H104" s="5"/>
      <c r="I104" s="3"/>
      <c r="J104" s="3"/>
      <c r="K104" s="3"/>
      <c r="L104" s="3"/>
      <c r="M104" s="3"/>
      <c r="N104" s="3"/>
      <c r="O104" s="5"/>
      <c r="P104" s="3"/>
      <c r="Q104" s="5"/>
      <c r="R104" s="5"/>
      <c r="S104" s="5"/>
    </row>
    <row r="105" spans="1:19" x14ac:dyDescent="0.75">
      <c r="A105" t="s">
        <v>16</v>
      </c>
      <c r="B105" s="63">
        <f>Comparisons!E6</f>
        <v>0.4</v>
      </c>
      <c r="C105" s="12" t="s">
        <v>53</v>
      </c>
      <c r="D105" s="3"/>
      <c r="E105" s="3"/>
      <c r="F105" s="4"/>
      <c r="G105" s="3"/>
      <c r="H105" s="5"/>
      <c r="I105" s="3"/>
      <c r="J105" s="3"/>
      <c r="K105" s="3"/>
      <c r="L105" s="3"/>
      <c r="M105" s="3"/>
      <c r="N105" s="3"/>
      <c r="O105" s="5"/>
      <c r="P105" s="3"/>
      <c r="Q105" s="5"/>
      <c r="R105" s="5"/>
      <c r="S105" s="5"/>
    </row>
    <row r="106" spans="1:19" x14ac:dyDescent="0.75">
      <c r="A106" t="s">
        <v>18</v>
      </c>
      <c r="B106" s="63">
        <f>Comparisons!E7</f>
        <v>0.15</v>
      </c>
      <c r="C106" s="12" t="s">
        <v>52</v>
      </c>
      <c r="D106" s="3"/>
      <c r="E106" s="3"/>
      <c r="F106" s="4"/>
      <c r="G106" s="3"/>
      <c r="H106" s="5"/>
      <c r="I106" s="3"/>
      <c r="J106" s="3"/>
      <c r="K106" s="3"/>
      <c r="L106" s="3"/>
      <c r="M106" s="3"/>
      <c r="N106" s="3"/>
      <c r="O106" s="5"/>
      <c r="P106" s="3"/>
      <c r="Q106" s="5"/>
      <c r="R106" s="5"/>
      <c r="S106" s="5"/>
    </row>
    <row r="107" spans="1:19" x14ac:dyDescent="0.75">
      <c r="A107" s="2" t="s">
        <v>19</v>
      </c>
      <c r="B107" s="23">
        <f>B104*B105*B106</f>
        <v>0</v>
      </c>
      <c r="C107" s="13" t="s">
        <v>23</v>
      </c>
      <c r="D107" s="3"/>
      <c r="E107" s="3"/>
      <c r="F107" s="4"/>
      <c r="G107" s="3"/>
      <c r="H107" s="5"/>
      <c r="I107" s="3"/>
      <c r="J107" s="3"/>
      <c r="K107" s="3"/>
      <c r="L107" s="3"/>
      <c r="M107" s="3"/>
      <c r="N107" s="3"/>
      <c r="O107" s="5"/>
      <c r="P107" s="3"/>
      <c r="Q107" s="5"/>
      <c r="R107" s="5"/>
      <c r="S107" s="5"/>
    </row>
    <row r="108" spans="1:19" x14ac:dyDescent="0.75">
      <c r="A108" t="s">
        <v>46</v>
      </c>
      <c r="B108" s="61">
        <f>Comparisons!E8</f>
        <v>0</v>
      </c>
      <c r="C108" s="12" t="s">
        <v>10</v>
      </c>
      <c r="D108" s="3"/>
      <c r="E108" s="3"/>
      <c r="F108" s="4"/>
      <c r="G108" s="3"/>
      <c r="H108" s="5"/>
      <c r="I108" s="3"/>
      <c r="J108" s="3"/>
      <c r="K108" s="3"/>
      <c r="L108" s="3"/>
      <c r="M108" s="3"/>
      <c r="N108" s="3"/>
      <c r="O108" s="5"/>
      <c r="P108" s="3"/>
      <c r="Q108" s="5"/>
      <c r="R108" s="5"/>
      <c r="S108" s="5"/>
    </row>
    <row r="109" spans="1:19" x14ac:dyDescent="0.75">
      <c r="A109" t="s">
        <v>47</v>
      </c>
      <c r="B109" s="63">
        <f>Comparisons!E9</f>
        <v>0.2</v>
      </c>
      <c r="C109" s="12" t="s">
        <v>53</v>
      </c>
      <c r="D109" s="3"/>
      <c r="E109" s="3"/>
      <c r="F109" s="4"/>
      <c r="G109" s="3"/>
      <c r="H109" s="5"/>
      <c r="I109" s="3"/>
      <c r="J109" s="3"/>
      <c r="K109" s="3"/>
      <c r="L109" s="3"/>
      <c r="M109" s="3"/>
      <c r="N109" s="3"/>
      <c r="O109" s="5"/>
      <c r="P109" s="3"/>
      <c r="Q109" s="5"/>
      <c r="R109" s="5"/>
      <c r="S109" s="5"/>
    </row>
    <row r="110" spans="1:19" x14ac:dyDescent="0.75">
      <c r="A110" t="s">
        <v>48</v>
      </c>
      <c r="B110" s="63">
        <f>Comparisons!E10</f>
        <v>7.0000000000000007E-2</v>
      </c>
      <c r="C110" s="12" t="s">
        <v>52</v>
      </c>
      <c r="D110" s="3"/>
      <c r="E110" s="3"/>
      <c r="F110" s="4"/>
      <c r="G110" s="3"/>
      <c r="H110" s="5"/>
      <c r="I110" s="3"/>
      <c r="J110" s="3"/>
      <c r="K110" s="3"/>
      <c r="L110" s="3"/>
      <c r="M110" s="3"/>
      <c r="N110" s="3"/>
      <c r="O110" s="5"/>
      <c r="P110" s="3"/>
      <c r="Q110" s="5"/>
      <c r="R110" s="5"/>
      <c r="S110" s="5"/>
    </row>
    <row r="111" spans="1:19" x14ac:dyDescent="0.75">
      <c r="A111" s="2" t="s">
        <v>44</v>
      </c>
      <c r="B111" s="23">
        <f>B108*B109*B110</f>
        <v>0</v>
      </c>
      <c r="C111" s="13" t="s">
        <v>23</v>
      </c>
      <c r="D111" s="3"/>
      <c r="E111" s="3"/>
      <c r="F111" s="4"/>
      <c r="G111" s="3"/>
      <c r="H111" s="5"/>
      <c r="I111" s="3"/>
      <c r="J111" s="3"/>
      <c r="K111" s="3"/>
      <c r="L111" s="3"/>
      <c r="M111" s="3"/>
      <c r="N111" s="3"/>
      <c r="O111" s="5"/>
      <c r="P111" s="3"/>
      <c r="Q111" s="5"/>
      <c r="R111" s="5"/>
      <c r="S111" s="5"/>
    </row>
    <row r="112" spans="1:19" x14ac:dyDescent="0.75">
      <c r="A112" s="2" t="s">
        <v>45</v>
      </c>
      <c r="B112" s="23">
        <f>B107+B111</f>
        <v>0</v>
      </c>
      <c r="C112" s="13" t="s">
        <v>23</v>
      </c>
      <c r="D112" s="3"/>
      <c r="E112" s="3"/>
      <c r="F112" s="4"/>
      <c r="G112" s="3"/>
      <c r="H112" s="5"/>
      <c r="I112" s="3"/>
      <c r="J112" s="3"/>
      <c r="K112" s="3"/>
      <c r="L112" s="3"/>
      <c r="M112" s="3"/>
      <c r="N112" s="3"/>
      <c r="O112" s="5"/>
      <c r="P112" s="3"/>
      <c r="Q112" s="5"/>
      <c r="R112" s="5"/>
      <c r="S112" s="5"/>
    </row>
    <row r="113" spans="1:19" x14ac:dyDescent="0.75">
      <c r="A113" s="2"/>
      <c r="B113" s="20"/>
      <c r="C113" s="13"/>
      <c r="D113" s="3"/>
      <c r="E113" s="3"/>
      <c r="F113" s="4"/>
      <c r="G113" s="3"/>
      <c r="H113" s="5"/>
      <c r="I113" s="3"/>
      <c r="J113" s="3"/>
      <c r="K113" s="3"/>
      <c r="L113" s="3"/>
      <c r="M113" s="3"/>
      <c r="N113" s="3"/>
      <c r="O113" s="5"/>
      <c r="P113" s="3"/>
      <c r="Q113" s="5"/>
      <c r="R113" s="5"/>
      <c r="S113" s="5"/>
    </row>
    <row r="114" spans="1:19" x14ac:dyDescent="0.75">
      <c r="A114" s="1" t="s">
        <v>102</v>
      </c>
      <c r="B114" s="3"/>
      <c r="C114" s="12"/>
      <c r="D114" s="3"/>
      <c r="E114" s="3"/>
      <c r="F114" s="4"/>
      <c r="G114" s="3"/>
      <c r="H114" s="5"/>
      <c r="I114" s="3"/>
      <c r="J114" s="3"/>
      <c r="K114" s="3"/>
      <c r="L114" s="3"/>
      <c r="M114" s="3"/>
      <c r="N114" s="3"/>
      <c r="O114" s="5"/>
      <c r="P114" s="3"/>
      <c r="Q114" s="5"/>
      <c r="R114" s="5"/>
      <c r="S114" s="5"/>
    </row>
    <row r="115" spans="1:19" x14ac:dyDescent="0.75">
      <c r="A115" t="s">
        <v>78</v>
      </c>
      <c r="B115" s="61">
        <v>100</v>
      </c>
      <c r="C115" s="12" t="s">
        <v>79</v>
      </c>
      <c r="D115" s="3"/>
      <c r="E115" t="s">
        <v>62</v>
      </c>
      <c r="F115" s="3">
        <v>2.4</v>
      </c>
      <c r="G115" s="12" t="s">
        <v>64</v>
      </c>
      <c r="H115" s="5"/>
      <c r="I115" s="3"/>
      <c r="J115" s="3"/>
      <c r="K115" s="3"/>
      <c r="L115" s="3"/>
      <c r="M115" s="3"/>
      <c r="N115" s="3"/>
      <c r="O115" s="5"/>
      <c r="P115" s="3"/>
      <c r="Q115" s="5"/>
      <c r="R115" s="5"/>
      <c r="S115" s="5"/>
    </row>
    <row r="116" spans="1:19" x14ac:dyDescent="0.75">
      <c r="A116" t="s">
        <v>27</v>
      </c>
      <c r="B116" s="61">
        <f>Comparisons!E11</f>
        <v>175</v>
      </c>
      <c r="C116" s="12" t="s">
        <v>54</v>
      </c>
      <c r="D116" s="3"/>
      <c r="E116" t="s">
        <v>61</v>
      </c>
      <c r="F116" s="3">
        <f>IF(B121&lt;1.5,2.8,3.2)</f>
        <v>3.2</v>
      </c>
      <c r="G116" s="12" t="s">
        <v>64</v>
      </c>
      <c r="H116" s="5"/>
      <c r="I116" s="3"/>
      <c r="J116" s="3"/>
      <c r="K116" s="3"/>
      <c r="L116" s="3"/>
      <c r="M116" s="3"/>
      <c r="N116" s="3"/>
      <c r="O116" s="5"/>
      <c r="P116" s="3"/>
      <c r="Q116" s="5"/>
      <c r="R116" s="5"/>
      <c r="S116" s="5"/>
    </row>
    <row r="117" spans="1:19" x14ac:dyDescent="0.75">
      <c r="A117" t="s">
        <v>28</v>
      </c>
      <c r="B117" s="63">
        <f>Comparisons!E12</f>
        <v>4.2000000000000003E-2</v>
      </c>
      <c r="C117" s="12" t="s">
        <v>52</v>
      </c>
      <c r="D117" s="3"/>
      <c r="E117" t="s">
        <v>63</v>
      </c>
      <c r="F117" s="3">
        <f>IF(B121&lt;1.5,3.5,3.9)</f>
        <v>3.9</v>
      </c>
      <c r="G117" s="12" t="s">
        <v>64</v>
      </c>
      <c r="H117" s="5"/>
      <c r="I117" s="3"/>
      <c r="J117" s="4"/>
      <c r="K117" s="3"/>
      <c r="L117" s="3"/>
      <c r="M117" s="3"/>
      <c r="N117" s="3"/>
      <c r="O117" s="5"/>
      <c r="P117" s="3"/>
      <c r="Q117" s="5"/>
      <c r="R117" s="5"/>
      <c r="S117" s="5"/>
    </row>
    <row r="118" spans="1:19" x14ac:dyDescent="0.75">
      <c r="A118" t="s">
        <v>29</v>
      </c>
      <c r="B118" s="63">
        <f>Comparisons!E13</f>
        <v>5.7000000000000002E-2</v>
      </c>
      <c r="C118" s="12" t="s">
        <v>52</v>
      </c>
      <c r="D118" s="3"/>
      <c r="E118" t="s">
        <v>62</v>
      </c>
      <c r="F118" s="25">
        <f>B116*F115/100*B117</f>
        <v>0.17640000000000003</v>
      </c>
      <c r="G118" s="12" t="s">
        <v>55</v>
      </c>
      <c r="H118" s="5"/>
      <c r="I118" s="3"/>
      <c r="J118" s="4"/>
      <c r="K118" s="3"/>
      <c r="L118" s="3"/>
      <c r="M118" s="3"/>
      <c r="N118" s="3"/>
      <c r="O118" s="5"/>
      <c r="P118" s="3"/>
      <c r="Q118" s="5"/>
      <c r="R118" s="5"/>
      <c r="S118" s="5"/>
    </row>
    <row r="119" spans="1:19" x14ac:dyDescent="0.75">
      <c r="A119" t="s">
        <v>30</v>
      </c>
      <c r="B119" s="63">
        <f>Comparisons!E14</f>
        <v>12</v>
      </c>
      <c r="C119" s="12" t="s">
        <v>82</v>
      </c>
      <c r="D119" s="3"/>
      <c r="E119" t="s">
        <v>61</v>
      </c>
      <c r="F119" s="25">
        <f>F116/100*B116*B118</f>
        <v>0.31920000000000004</v>
      </c>
      <c r="G119" s="12" t="s">
        <v>55</v>
      </c>
      <c r="H119" s="5"/>
      <c r="I119" s="3"/>
      <c r="J119" s="4"/>
      <c r="K119" s="3"/>
      <c r="L119" s="3"/>
      <c r="M119" s="3"/>
      <c r="N119" s="3"/>
      <c r="O119" s="5"/>
      <c r="P119" s="3"/>
      <c r="Q119" s="5"/>
      <c r="R119" s="5"/>
      <c r="S119" s="5"/>
    </row>
    <row r="120" spans="1:19" x14ac:dyDescent="0.75">
      <c r="A120" t="s">
        <v>31</v>
      </c>
      <c r="B120" s="63">
        <f>Comparisons!E15</f>
        <v>94</v>
      </c>
      <c r="C120" s="12" t="s">
        <v>25</v>
      </c>
      <c r="D120" s="3"/>
      <c r="E120" t="s">
        <v>63</v>
      </c>
      <c r="F120" s="25">
        <f>B116*F117/100*B118</f>
        <v>0.38902500000000001</v>
      </c>
      <c r="G120" s="12" t="s">
        <v>55</v>
      </c>
      <c r="H120" s="5"/>
      <c r="I120" s="3"/>
      <c r="J120" s="4"/>
      <c r="K120" s="3"/>
      <c r="L120" s="3"/>
      <c r="M120" s="3"/>
      <c r="N120" s="3"/>
      <c r="O120" s="5"/>
      <c r="P120" s="3"/>
      <c r="Q120" s="5"/>
      <c r="R120" s="5"/>
      <c r="S120" s="5"/>
    </row>
    <row r="121" spans="1:19" x14ac:dyDescent="0.75">
      <c r="A121" t="s">
        <v>32</v>
      </c>
      <c r="B121" s="63">
        <f>Comparisons!E16</f>
        <v>1.9</v>
      </c>
      <c r="C121" s="12" t="s">
        <v>33</v>
      </c>
      <c r="D121" s="3"/>
      <c r="E121" t="s">
        <v>26</v>
      </c>
      <c r="F121" s="3">
        <f>(B119*30-4*7-B103)*F118</f>
        <v>47.098800000000004</v>
      </c>
      <c r="G121" s="12" t="s">
        <v>80</v>
      </c>
      <c r="H121" s="5"/>
      <c r="I121" s="3"/>
      <c r="J121" s="4"/>
      <c r="K121" s="3"/>
      <c r="L121" s="3"/>
      <c r="M121" s="3"/>
      <c r="N121" s="3"/>
      <c r="O121" s="5"/>
      <c r="P121" s="3"/>
      <c r="Q121" s="5"/>
      <c r="R121" s="5"/>
      <c r="S121" s="5"/>
    </row>
    <row r="122" spans="1:19" x14ac:dyDescent="0.75">
      <c r="A122" t="s">
        <v>60</v>
      </c>
      <c r="B122" s="63">
        <f>Comparisons!E17</f>
        <v>11</v>
      </c>
      <c r="C122" s="12" t="s">
        <v>84</v>
      </c>
      <c r="D122" s="3"/>
      <c r="E122" t="s">
        <v>65</v>
      </c>
      <c r="F122" s="3">
        <f>4*7*F119</f>
        <v>8.9376000000000015</v>
      </c>
      <c r="G122" s="12" t="s">
        <v>80</v>
      </c>
      <c r="H122" s="5"/>
      <c r="I122" s="3"/>
      <c r="J122" s="4"/>
      <c r="K122" s="3"/>
      <c r="L122" s="3"/>
      <c r="M122" s="3"/>
      <c r="N122" s="3"/>
      <c r="O122" s="5"/>
      <c r="P122" s="3"/>
      <c r="Q122" s="5"/>
      <c r="R122" s="5"/>
      <c r="S122" s="5"/>
    </row>
    <row r="123" spans="1:19" x14ac:dyDescent="0.75">
      <c r="A123" t="s">
        <v>59</v>
      </c>
      <c r="B123" s="63">
        <f>Comparisons!E18</f>
        <v>3</v>
      </c>
      <c r="C123" s="12" t="s">
        <v>85</v>
      </c>
      <c r="D123" s="3"/>
      <c r="E123" t="s">
        <v>66</v>
      </c>
      <c r="F123" s="10">
        <f>B103*F120</f>
        <v>25.286625000000001</v>
      </c>
      <c r="G123" s="12" t="s">
        <v>80</v>
      </c>
      <c r="H123" s="5"/>
      <c r="I123" s="3"/>
      <c r="J123" s="4"/>
      <c r="K123" s="3"/>
      <c r="L123" s="3"/>
      <c r="M123" s="3"/>
      <c r="N123" s="3"/>
      <c r="O123" s="5"/>
      <c r="P123" s="3"/>
      <c r="Q123" s="5"/>
      <c r="R123" s="5"/>
      <c r="S123" s="5"/>
    </row>
    <row r="124" spans="1:19" x14ac:dyDescent="0.75">
      <c r="A124" s="21" t="s">
        <v>72</v>
      </c>
      <c r="B124" s="24">
        <f>B115*B120/100*B121*(1-B122/100)*(1-B123/100)</f>
        <v>154.18538000000001</v>
      </c>
      <c r="C124" s="13" t="s">
        <v>77</v>
      </c>
      <c r="D124" s="3"/>
      <c r="E124" t="s">
        <v>56</v>
      </c>
      <c r="F124" s="3">
        <f>F121+F122+F123</f>
        <v>81.323025000000001</v>
      </c>
      <c r="G124" s="12" t="s">
        <v>98</v>
      </c>
      <c r="H124" s="5"/>
      <c r="I124" s="3"/>
      <c r="J124" s="4"/>
      <c r="K124" s="3"/>
      <c r="L124" s="3"/>
      <c r="M124" s="3"/>
      <c r="N124" s="3"/>
      <c r="O124" s="5"/>
      <c r="P124" s="3"/>
      <c r="Q124" s="5"/>
      <c r="R124" s="5"/>
      <c r="S124" s="5"/>
    </row>
    <row r="125" spans="1:19" s="19" customFormat="1" x14ac:dyDescent="0.75">
      <c r="A125" s="22" t="s">
        <v>71</v>
      </c>
      <c r="B125" s="26">
        <f>B121*B120/100</f>
        <v>1.786</v>
      </c>
      <c r="C125" s="13" t="s">
        <v>96</v>
      </c>
      <c r="D125" s="16"/>
      <c r="E125" t="s">
        <v>57</v>
      </c>
      <c r="F125" s="5">
        <f>(F118*365)*(1-B120/100)+F124*B120/100</f>
        <v>80.306803500000001</v>
      </c>
      <c r="G125" s="12" t="s">
        <v>81</v>
      </c>
      <c r="H125" s="18"/>
      <c r="I125" s="16"/>
      <c r="J125" s="17"/>
      <c r="K125" s="16"/>
      <c r="L125" s="16"/>
      <c r="M125" s="16"/>
      <c r="N125" s="16"/>
      <c r="O125" s="18"/>
      <c r="P125" s="16"/>
      <c r="Q125" s="18"/>
      <c r="R125" s="18"/>
      <c r="S125" s="18"/>
    </row>
    <row r="126" spans="1:19" x14ac:dyDescent="0.75">
      <c r="A126" s="22" t="s">
        <v>70</v>
      </c>
      <c r="B126" s="26">
        <f>B120/100*B121*(1-B122/100)*(1-B123/100)</f>
        <v>1.5418537999999999</v>
      </c>
      <c r="C126" s="13" t="s">
        <v>97</v>
      </c>
      <c r="D126" s="3"/>
      <c r="E126" s="2" t="s">
        <v>58</v>
      </c>
      <c r="F126" s="26">
        <f>F125/B126</f>
        <v>52.084577344492715</v>
      </c>
      <c r="G126" s="13" t="s">
        <v>118</v>
      </c>
      <c r="H126" s="5"/>
      <c r="I126" s="3"/>
      <c r="J126" s="3"/>
      <c r="K126" s="3"/>
      <c r="L126" s="3"/>
      <c r="M126" s="3"/>
      <c r="N126" s="3"/>
      <c r="O126" s="5"/>
      <c r="P126" s="3"/>
      <c r="Q126" s="5"/>
      <c r="R126" s="5"/>
      <c r="S126" s="5"/>
    </row>
    <row r="127" spans="1:19" x14ac:dyDescent="0.75">
      <c r="B127" s="3"/>
      <c r="C127" s="3"/>
      <c r="D127" s="3"/>
      <c r="E127" s="3"/>
      <c r="F127" s="4"/>
      <c r="G127" s="3"/>
      <c r="H127" s="5"/>
      <c r="I127" s="3"/>
      <c r="J127" s="3"/>
      <c r="K127" s="3"/>
      <c r="L127" s="3"/>
      <c r="M127" s="3"/>
      <c r="N127" s="3"/>
      <c r="O127" s="5"/>
      <c r="P127" s="3"/>
      <c r="Q127" s="5"/>
      <c r="R127" s="5"/>
      <c r="S127" s="5"/>
    </row>
    <row r="128" spans="1:19" x14ac:dyDescent="0.75">
      <c r="A128" s="1" t="s">
        <v>83</v>
      </c>
      <c r="B128" s="3"/>
      <c r="C128" s="12"/>
      <c r="D128" s="3"/>
      <c r="E128" s="3"/>
      <c r="F128" s="4"/>
      <c r="G128" s="3"/>
      <c r="H128" s="4"/>
      <c r="I128" s="3"/>
      <c r="J128" s="5"/>
      <c r="K128" s="3"/>
      <c r="L128" s="3"/>
      <c r="M128" s="3"/>
      <c r="N128" s="3"/>
      <c r="O128" s="5"/>
      <c r="P128" s="3"/>
      <c r="Q128" s="5"/>
      <c r="R128" s="5"/>
      <c r="S128" s="5"/>
    </row>
    <row r="129" spans="1:19" x14ac:dyDescent="0.75">
      <c r="A129" t="s">
        <v>36</v>
      </c>
      <c r="B129" s="61">
        <f>Comparisons!E19</f>
        <v>10</v>
      </c>
      <c r="C129" s="12" t="s">
        <v>35</v>
      </c>
      <c r="D129" s="3"/>
      <c r="E129" s="3"/>
      <c r="F129" s="4"/>
      <c r="G129" s="3"/>
      <c r="H129" s="5"/>
      <c r="I129" s="3"/>
      <c r="J129" s="3"/>
      <c r="K129" s="3"/>
      <c r="L129" s="3"/>
      <c r="M129" s="3"/>
      <c r="N129" s="3"/>
      <c r="O129" s="5"/>
      <c r="P129" s="3"/>
      <c r="Q129" s="5"/>
      <c r="R129" s="5"/>
      <c r="S129" s="5"/>
    </row>
    <row r="130" spans="1:19" x14ac:dyDescent="0.75">
      <c r="A130" t="s">
        <v>34</v>
      </c>
      <c r="B130" s="63">
        <f>Comparisons!E20</f>
        <v>0.4</v>
      </c>
      <c r="C130" s="12" t="s">
        <v>99</v>
      </c>
      <c r="D130" s="3"/>
      <c r="E130" s="3"/>
      <c r="F130" s="4"/>
      <c r="G130" s="3"/>
      <c r="H130" s="5"/>
      <c r="I130" s="3"/>
      <c r="J130" s="3"/>
      <c r="K130" s="3"/>
      <c r="L130" s="3"/>
      <c r="M130" s="3"/>
      <c r="N130" s="3"/>
      <c r="O130" s="5"/>
      <c r="P130" s="3"/>
      <c r="Q130" s="5"/>
      <c r="R130" s="5"/>
      <c r="S130" s="5"/>
    </row>
    <row r="131" spans="1:19" x14ac:dyDescent="0.75">
      <c r="A131" t="s">
        <v>100</v>
      </c>
      <c r="B131" s="63">
        <f>Comparisons!E21</f>
        <v>2.25</v>
      </c>
      <c r="C131" s="12" t="s">
        <v>99</v>
      </c>
      <c r="D131" s="3"/>
      <c r="E131" s="3"/>
      <c r="F131" s="4"/>
      <c r="G131" s="3"/>
      <c r="H131" s="5"/>
      <c r="I131" s="3"/>
      <c r="J131" s="3"/>
      <c r="K131" s="3"/>
      <c r="L131" s="3"/>
      <c r="M131" s="3"/>
      <c r="N131" s="3"/>
      <c r="O131" s="5"/>
      <c r="P131" s="3"/>
      <c r="Q131" s="5"/>
      <c r="R131" s="5"/>
      <c r="S131" s="5"/>
    </row>
    <row r="132" spans="1:19" x14ac:dyDescent="0.75">
      <c r="A132" t="s">
        <v>67</v>
      </c>
      <c r="B132" s="63">
        <f>Comparisons!E22</f>
        <v>8</v>
      </c>
      <c r="C132" s="12" t="s">
        <v>80</v>
      </c>
      <c r="D132" s="3"/>
      <c r="E132" s="3"/>
      <c r="F132" s="4"/>
      <c r="G132" s="3"/>
      <c r="H132" s="5"/>
      <c r="I132" s="3"/>
      <c r="J132" s="3"/>
      <c r="K132" s="3"/>
      <c r="L132" s="3"/>
      <c r="M132" s="3"/>
      <c r="N132" s="3"/>
      <c r="O132" s="5"/>
      <c r="P132" s="3"/>
      <c r="Q132" s="5"/>
      <c r="R132" s="5"/>
      <c r="S132" s="5"/>
    </row>
    <row r="133" spans="1:19" x14ac:dyDescent="0.75">
      <c r="A133" t="s">
        <v>101</v>
      </c>
      <c r="B133" s="63">
        <f>Comparisons!E23</f>
        <v>3</v>
      </c>
      <c r="C133" s="12" t="s">
        <v>80</v>
      </c>
      <c r="D133" s="3"/>
      <c r="E133" s="3"/>
      <c r="F133" s="4"/>
      <c r="G133" s="3"/>
      <c r="H133" s="5"/>
      <c r="I133" s="3"/>
      <c r="J133" s="3"/>
      <c r="K133" s="3"/>
      <c r="L133" s="3"/>
      <c r="M133" s="3"/>
      <c r="N133" s="3"/>
      <c r="O133" s="5"/>
      <c r="P133" s="3"/>
      <c r="Q133" s="5"/>
      <c r="R133" s="5"/>
      <c r="S133" s="5"/>
    </row>
    <row r="134" spans="1:19" x14ac:dyDescent="0.75">
      <c r="A134" t="s">
        <v>37</v>
      </c>
      <c r="B134" s="5">
        <f>B131*B129+B130*B129*(B120/100)</f>
        <v>26.259999999999998</v>
      </c>
      <c r="C134" s="12" t="s">
        <v>81</v>
      </c>
      <c r="D134" s="3"/>
      <c r="E134" s="3"/>
      <c r="F134" s="4"/>
      <c r="G134" s="3"/>
      <c r="H134" s="5"/>
      <c r="I134" s="3"/>
      <c r="J134" s="3"/>
      <c r="K134" s="3"/>
      <c r="L134" s="3"/>
      <c r="M134" s="3"/>
      <c r="N134" s="3"/>
      <c r="O134" s="5"/>
      <c r="P134" s="3"/>
      <c r="Q134" s="5"/>
      <c r="R134" s="5"/>
      <c r="S134" s="5"/>
    </row>
    <row r="135" spans="1:19" x14ac:dyDescent="0.75">
      <c r="A135" t="s">
        <v>38</v>
      </c>
      <c r="B135" s="5">
        <f>B132*B120/100+B133*(1-B120/100)</f>
        <v>7.6999999999999993</v>
      </c>
      <c r="C135" s="12" t="s">
        <v>81</v>
      </c>
      <c r="D135" s="3"/>
      <c r="E135" s="3"/>
      <c r="F135" s="4"/>
      <c r="G135" s="3"/>
      <c r="H135" s="5"/>
      <c r="I135" s="3"/>
      <c r="J135" s="3"/>
      <c r="K135" s="3"/>
      <c r="L135" s="3"/>
      <c r="M135" s="3"/>
      <c r="N135" s="3"/>
      <c r="O135" s="5"/>
      <c r="P135" s="3"/>
      <c r="Q135" s="5"/>
      <c r="R135" s="5"/>
      <c r="S135" s="5"/>
    </row>
    <row r="136" spans="1:19" x14ac:dyDescent="0.75">
      <c r="A136" t="s">
        <v>68</v>
      </c>
      <c r="B136" s="5">
        <f>SUM(B134:B135)</f>
        <v>33.959999999999994</v>
      </c>
      <c r="C136" s="12" t="s">
        <v>81</v>
      </c>
      <c r="D136" s="3"/>
      <c r="E136" s="3"/>
      <c r="F136" s="4"/>
      <c r="G136" s="3"/>
      <c r="H136" s="5"/>
      <c r="I136" s="3"/>
      <c r="J136" s="3"/>
      <c r="K136" s="3"/>
      <c r="L136" s="3"/>
      <c r="M136" s="3"/>
      <c r="N136" s="3"/>
      <c r="O136" s="5"/>
      <c r="P136" s="3"/>
      <c r="Q136" s="5"/>
      <c r="R136" s="5"/>
      <c r="S136" s="5"/>
    </row>
    <row r="137" spans="1:19" s="2" customFormat="1" x14ac:dyDescent="0.75">
      <c r="A137" s="2" t="s">
        <v>39</v>
      </c>
      <c r="B137" s="26">
        <f>B136/B126</f>
        <v>22.025434577519604</v>
      </c>
      <c r="C137" s="13" t="s">
        <v>118</v>
      </c>
      <c r="D137" s="6"/>
      <c r="E137" s="6"/>
      <c r="F137" s="7"/>
      <c r="G137" s="6"/>
      <c r="H137" s="8"/>
      <c r="I137" s="6"/>
      <c r="J137" s="6"/>
      <c r="K137" s="6"/>
      <c r="L137" s="6"/>
      <c r="M137" s="6"/>
      <c r="N137" s="6"/>
      <c r="O137" s="8"/>
      <c r="P137" s="6"/>
      <c r="Q137" s="8"/>
      <c r="R137" s="8"/>
      <c r="S137" s="8"/>
    </row>
    <row r="138" spans="1:19" s="2" customFormat="1" x14ac:dyDescent="0.75">
      <c r="B138" s="29"/>
      <c r="C138" s="13"/>
      <c r="D138" s="6"/>
      <c r="E138" s="6"/>
      <c r="F138" s="7"/>
      <c r="G138" s="6"/>
      <c r="H138" s="8"/>
      <c r="I138" s="6"/>
      <c r="J138" s="6"/>
      <c r="K138" s="6"/>
      <c r="L138" s="6"/>
      <c r="M138" s="6"/>
      <c r="N138" s="6"/>
      <c r="O138" s="8"/>
      <c r="P138" s="6"/>
      <c r="Q138" s="8"/>
      <c r="R138" s="8"/>
      <c r="S138" s="8"/>
    </row>
    <row r="139" spans="1:19" s="2" customFormat="1" x14ac:dyDescent="0.75">
      <c r="A139" s="1" t="s">
        <v>103</v>
      </c>
      <c r="B139" s="29"/>
      <c r="C139" s="13"/>
      <c r="D139" s="6"/>
      <c r="E139" s="6"/>
      <c r="F139" s="7"/>
      <c r="G139" s="6"/>
      <c r="H139" s="8"/>
      <c r="I139" s="6"/>
      <c r="J139" s="6"/>
      <c r="K139" s="6"/>
      <c r="L139" s="6"/>
      <c r="M139" s="6"/>
      <c r="N139" s="6"/>
      <c r="O139" s="8"/>
      <c r="P139" s="6"/>
      <c r="Q139" s="8"/>
      <c r="R139" s="8"/>
      <c r="S139" s="8"/>
    </row>
    <row r="140" spans="1:19" s="2" customFormat="1" x14ac:dyDescent="0.75">
      <c r="A140" s="30" t="s">
        <v>104</v>
      </c>
      <c r="B140" s="33">
        <f>Comparisons!E24</f>
        <v>15</v>
      </c>
      <c r="C140" s="32" t="s">
        <v>105</v>
      </c>
      <c r="D140" s="6"/>
      <c r="E140" s="6"/>
      <c r="F140" s="7"/>
      <c r="G140" s="6"/>
      <c r="H140" s="8"/>
      <c r="I140" s="6"/>
      <c r="J140" s="6"/>
      <c r="K140" s="6"/>
      <c r="L140" s="6"/>
      <c r="M140" s="6"/>
      <c r="N140" s="6"/>
      <c r="O140" s="8"/>
      <c r="P140" s="6"/>
      <c r="Q140" s="8"/>
      <c r="R140" s="8"/>
      <c r="S140" s="8"/>
    </row>
    <row r="141" spans="1:19" s="2" customFormat="1" x14ac:dyDescent="0.75">
      <c r="A141" s="30" t="s">
        <v>106</v>
      </c>
      <c r="B141" s="33">
        <f>Comparisons!E25</f>
        <v>6.5000000000000002E-2</v>
      </c>
      <c r="C141" s="32" t="s">
        <v>52</v>
      </c>
      <c r="D141" s="6"/>
      <c r="E141" s="6"/>
      <c r="F141" s="7"/>
      <c r="G141" s="6"/>
      <c r="H141" s="8"/>
      <c r="I141" s="6"/>
      <c r="J141" s="6"/>
      <c r="K141" s="6"/>
      <c r="L141" s="6"/>
      <c r="M141" s="6"/>
      <c r="N141" s="6"/>
      <c r="O141" s="8"/>
      <c r="P141" s="6"/>
      <c r="Q141" s="8"/>
      <c r="R141" s="8"/>
      <c r="S141" s="8"/>
    </row>
    <row r="142" spans="1:19" s="2" customFormat="1" x14ac:dyDescent="0.75">
      <c r="A142" s="30" t="s">
        <v>110</v>
      </c>
      <c r="B142" s="33">
        <f>Comparisons!E26</f>
        <v>115</v>
      </c>
      <c r="C142" s="30" t="s">
        <v>54</v>
      </c>
      <c r="D142" s="6"/>
      <c r="E142" s="6"/>
      <c r="F142" s="7"/>
      <c r="G142" s="6"/>
      <c r="H142" s="8"/>
      <c r="I142" s="6"/>
      <c r="J142" s="6"/>
      <c r="K142" s="6"/>
      <c r="L142" s="6"/>
      <c r="M142" s="6"/>
      <c r="N142" s="6"/>
      <c r="O142" s="8"/>
      <c r="P142" s="6"/>
      <c r="Q142" s="8"/>
      <c r="R142" s="8"/>
      <c r="S142" s="8"/>
    </row>
    <row r="143" spans="1:19" s="2" customFormat="1" x14ac:dyDescent="0.75">
      <c r="A143" s="30" t="s">
        <v>107</v>
      </c>
      <c r="B143" s="33">
        <f>Comparisons!E27</f>
        <v>230</v>
      </c>
      <c r="C143" s="32" t="s">
        <v>10</v>
      </c>
      <c r="D143" s="6"/>
      <c r="E143" s="6"/>
      <c r="F143" s="7"/>
      <c r="G143" s="6"/>
      <c r="H143" s="8"/>
      <c r="I143" s="6"/>
      <c r="J143" s="6"/>
      <c r="K143" s="6"/>
      <c r="L143" s="6"/>
      <c r="M143" s="6"/>
      <c r="N143" s="6"/>
      <c r="O143" s="8"/>
      <c r="P143" s="6"/>
      <c r="Q143" s="8"/>
      <c r="R143" s="8"/>
      <c r="S143" s="8"/>
    </row>
    <row r="144" spans="1:19" s="2" customFormat="1" x14ac:dyDescent="0.75">
      <c r="A144" s="30" t="s">
        <v>108</v>
      </c>
      <c r="B144" s="31">
        <f>0.032*(B142-B102)/(LN(B142/B102)/(B143-B103))*B141</f>
        <v>26.317478616268733</v>
      </c>
      <c r="C144" s="32" t="s">
        <v>109</v>
      </c>
      <c r="D144" s="6"/>
      <c r="E144" s="6"/>
      <c r="F144" s="7"/>
      <c r="G144" s="6"/>
      <c r="H144" s="8"/>
      <c r="I144" s="6"/>
      <c r="J144" s="6"/>
      <c r="K144" s="6"/>
      <c r="L144" s="6"/>
      <c r="M144" s="6"/>
      <c r="N144" s="6"/>
      <c r="O144" s="8"/>
      <c r="P144" s="6"/>
      <c r="Q144" s="8"/>
      <c r="R144" s="8"/>
      <c r="S144" s="8"/>
    </row>
    <row r="145" spans="1:19" s="2" customFormat="1" x14ac:dyDescent="0.75">
      <c r="A145" s="41" t="s">
        <v>108</v>
      </c>
      <c r="B145" s="26">
        <f>B144*(B140/100)</f>
        <v>3.9476217924403096</v>
      </c>
      <c r="C145" s="13" t="s">
        <v>119</v>
      </c>
      <c r="D145" s="6"/>
      <c r="E145" s="6"/>
      <c r="F145" s="7"/>
      <c r="G145" s="6"/>
      <c r="H145" s="8"/>
      <c r="I145" s="6"/>
      <c r="J145" s="6"/>
      <c r="K145" s="6"/>
      <c r="L145" s="6"/>
      <c r="M145" s="6"/>
      <c r="N145" s="6"/>
      <c r="O145" s="8"/>
      <c r="P145" s="6"/>
      <c r="Q145" s="8"/>
      <c r="R145" s="8"/>
      <c r="S145" s="8"/>
    </row>
    <row r="146" spans="1:19" s="36" customFormat="1" x14ac:dyDescent="0.75">
      <c r="A146" s="41"/>
      <c r="B146" s="29"/>
      <c r="C146" s="37"/>
      <c r="D146" s="42"/>
      <c r="E146" s="42"/>
      <c r="F146" s="43"/>
      <c r="G146" s="42"/>
      <c r="H146" s="29"/>
      <c r="I146" s="42"/>
      <c r="J146" s="42"/>
      <c r="K146" s="42"/>
      <c r="L146" s="42"/>
      <c r="M146" s="42"/>
      <c r="N146" s="42"/>
      <c r="O146" s="29"/>
      <c r="P146" s="42"/>
      <c r="Q146" s="29"/>
      <c r="R146" s="29"/>
      <c r="S146" s="29"/>
    </row>
    <row r="147" spans="1:19" s="2" customFormat="1" x14ac:dyDescent="0.75">
      <c r="A147" s="40" t="s">
        <v>114</v>
      </c>
      <c r="B147" s="44">
        <f>Comparisons!E28</f>
        <v>10</v>
      </c>
      <c r="C147" s="32" t="s">
        <v>109</v>
      </c>
      <c r="D147" s="6"/>
      <c r="E147" s="6"/>
      <c r="F147" s="7"/>
      <c r="G147" s="6"/>
      <c r="H147" s="8"/>
      <c r="I147" s="6"/>
      <c r="J147" s="6"/>
      <c r="K147" s="6"/>
      <c r="L147" s="6"/>
      <c r="M147" s="6"/>
      <c r="N147" s="6"/>
      <c r="O147" s="8"/>
      <c r="P147" s="6"/>
      <c r="Q147" s="8"/>
      <c r="R147" s="8"/>
      <c r="S147" s="8"/>
    </row>
    <row r="148" spans="1:19" s="2" customFormat="1" x14ac:dyDescent="0.75">
      <c r="A148" s="41" t="s">
        <v>114</v>
      </c>
      <c r="B148" s="26">
        <f>B147*(B140/100)</f>
        <v>1.5</v>
      </c>
      <c r="C148" s="13" t="s">
        <v>119</v>
      </c>
      <c r="D148" s="6"/>
      <c r="E148" s="6"/>
      <c r="F148" s="7"/>
      <c r="G148" s="6"/>
      <c r="H148" s="8"/>
      <c r="I148" s="6"/>
      <c r="J148" s="6"/>
      <c r="K148" s="6"/>
      <c r="L148" s="6"/>
      <c r="M148" s="6"/>
      <c r="N148" s="6"/>
      <c r="O148" s="8"/>
      <c r="P148" s="6"/>
      <c r="Q148" s="8"/>
      <c r="R148" s="8"/>
      <c r="S148" s="8"/>
    </row>
    <row r="149" spans="1:19" s="2" customFormat="1" x14ac:dyDescent="0.75">
      <c r="A149" s="41"/>
      <c r="B149" s="29"/>
      <c r="C149" s="13"/>
      <c r="D149" s="6"/>
      <c r="E149" s="6"/>
      <c r="F149" s="7"/>
      <c r="G149" s="6"/>
      <c r="H149" s="8"/>
      <c r="I149" s="6"/>
      <c r="J149" s="6"/>
      <c r="K149" s="6"/>
      <c r="L149" s="6"/>
      <c r="M149" s="6"/>
      <c r="N149" s="6"/>
      <c r="O149" s="8"/>
      <c r="P149" s="6"/>
      <c r="Q149" s="8"/>
      <c r="R149" s="8"/>
      <c r="S149" s="8"/>
    </row>
    <row r="150" spans="1:19" s="2" customFormat="1" x14ac:dyDescent="0.75">
      <c r="A150" s="38" t="s">
        <v>111</v>
      </c>
      <c r="B150" s="34">
        <f>Comparisons!E29</f>
        <v>0.75</v>
      </c>
      <c r="C150" s="39" t="s">
        <v>112</v>
      </c>
      <c r="D150" s="6"/>
      <c r="E150" s="6"/>
      <c r="F150" s="7"/>
      <c r="G150" s="6"/>
      <c r="H150" s="8"/>
      <c r="I150" s="6"/>
      <c r="J150" s="6"/>
      <c r="K150" s="6"/>
      <c r="L150" s="6"/>
      <c r="M150" s="6"/>
      <c r="N150" s="6"/>
      <c r="O150" s="8"/>
      <c r="P150" s="6"/>
      <c r="Q150" s="8"/>
      <c r="R150" s="8"/>
      <c r="S150" s="8"/>
    </row>
    <row r="151" spans="1:19" s="2" customFormat="1" x14ac:dyDescent="0.75">
      <c r="A151" s="41" t="s">
        <v>113</v>
      </c>
      <c r="B151" s="45">
        <f>B150*B116*B140/100/B126</f>
        <v>12.768720354679543</v>
      </c>
      <c r="C151" s="13" t="s">
        <v>119</v>
      </c>
      <c r="D151" s="6"/>
      <c r="E151" s="6"/>
      <c r="F151" s="7"/>
      <c r="G151" s="6"/>
      <c r="H151" s="8"/>
      <c r="I151" s="6"/>
      <c r="J151" s="6"/>
      <c r="K151" s="6"/>
      <c r="L151" s="6"/>
      <c r="M151" s="6"/>
      <c r="N151" s="6"/>
      <c r="O151" s="8"/>
      <c r="P151" s="6"/>
      <c r="Q151" s="8"/>
      <c r="R151" s="8"/>
      <c r="S151" s="8"/>
    </row>
    <row r="153" spans="1:19" x14ac:dyDescent="0.75">
      <c r="A153" s="1" t="s">
        <v>88</v>
      </c>
      <c r="B153" s="3"/>
      <c r="C153" s="3"/>
      <c r="D153" s="90" t="s">
        <v>127</v>
      </c>
      <c r="E153" s="90"/>
      <c r="F153" s="90"/>
      <c r="G153" s="86" t="s">
        <v>123</v>
      </c>
      <c r="H153" s="86"/>
      <c r="I153" s="86"/>
      <c r="J153" s="86"/>
      <c r="K153" s="87" t="s">
        <v>124</v>
      </c>
      <c r="L153" s="88"/>
      <c r="M153" s="88"/>
      <c r="N153" s="88"/>
      <c r="O153" s="89"/>
      <c r="P153" s="91" t="s">
        <v>130</v>
      </c>
      <c r="Q153" s="92"/>
      <c r="R153" s="92"/>
      <c r="S153" s="93"/>
    </row>
    <row r="154" spans="1:19" x14ac:dyDescent="0.75">
      <c r="A154" s="3" t="s">
        <v>0</v>
      </c>
      <c r="B154" s="3" t="s">
        <v>40</v>
      </c>
      <c r="C154" s="3" t="s">
        <v>6</v>
      </c>
      <c r="D154" s="3" t="s">
        <v>3</v>
      </c>
      <c r="E154" s="3" t="s">
        <v>2</v>
      </c>
      <c r="F154" s="3" t="s">
        <v>5</v>
      </c>
      <c r="G154" s="3" t="s">
        <v>8</v>
      </c>
      <c r="H154" s="3" t="s">
        <v>69</v>
      </c>
      <c r="I154" s="3" t="s">
        <v>126</v>
      </c>
      <c r="J154" s="3" t="s">
        <v>125</v>
      </c>
      <c r="K154" s="3" t="s">
        <v>50</v>
      </c>
      <c r="L154" s="3" t="s">
        <v>22</v>
      </c>
      <c r="M154" s="3" t="s">
        <v>7</v>
      </c>
      <c r="N154" s="3" t="s">
        <v>51</v>
      </c>
      <c r="O154" s="3" t="s">
        <v>21</v>
      </c>
      <c r="P154" s="3" t="s">
        <v>8</v>
      </c>
      <c r="Q154" s="3" t="s">
        <v>69</v>
      </c>
      <c r="R154" s="3" t="s">
        <v>126</v>
      </c>
      <c r="S154" s="3" t="s">
        <v>125</v>
      </c>
    </row>
    <row r="155" spans="1:19" x14ac:dyDescent="0.75">
      <c r="A155" s="3" t="s">
        <v>24</v>
      </c>
      <c r="B155" s="3" t="s">
        <v>25</v>
      </c>
      <c r="C155" s="3" t="s">
        <v>10</v>
      </c>
      <c r="D155" s="3" t="s">
        <v>12</v>
      </c>
      <c r="E155" s="3" t="s">
        <v>17</v>
      </c>
      <c r="F155" s="3" t="s">
        <v>52</v>
      </c>
      <c r="G155" s="3" t="s">
        <v>23</v>
      </c>
      <c r="H155" s="3" t="s">
        <v>86</v>
      </c>
      <c r="I155" s="3" t="s">
        <v>23</v>
      </c>
      <c r="J155" s="3" t="s">
        <v>87</v>
      </c>
      <c r="K155" s="3" t="s">
        <v>76</v>
      </c>
      <c r="L155" s="3" t="s">
        <v>76</v>
      </c>
      <c r="M155" s="3" t="s">
        <v>23</v>
      </c>
      <c r="N155" s="3" t="s">
        <v>23</v>
      </c>
      <c r="O155" s="3" t="s">
        <v>25</v>
      </c>
      <c r="P155" s="3" t="s">
        <v>23</v>
      </c>
      <c r="Q155" s="3" t="s">
        <v>86</v>
      </c>
      <c r="R155" s="3" t="s">
        <v>23</v>
      </c>
      <c r="S155" s="3" t="s">
        <v>23</v>
      </c>
    </row>
    <row r="156" spans="1:19" x14ac:dyDescent="0.75">
      <c r="A156" s="5">
        <f>B102</f>
        <v>48</v>
      </c>
      <c r="B156" s="5">
        <f>A156/$B$16*100</f>
        <v>27.428571428571431</v>
      </c>
      <c r="C156" s="5">
        <f>B103</f>
        <v>65</v>
      </c>
      <c r="D156" s="67">
        <f>Finishing!D4</f>
        <v>0.7995812722283262</v>
      </c>
      <c r="E156" s="67">
        <f>Finishing!E4</f>
        <v>2.9890645053996687</v>
      </c>
      <c r="F156" s="67">
        <f>Finishing!F4</f>
        <v>0.115</v>
      </c>
      <c r="G156" s="68">
        <f>Finishing!G4</f>
        <v>0.85</v>
      </c>
      <c r="H156" s="68">
        <f>Finishing!H4</f>
        <v>0.3</v>
      </c>
      <c r="I156" s="68">
        <f>Finishing!I4</f>
        <v>1</v>
      </c>
      <c r="J156" s="68">
        <f>Finishing!J4</f>
        <v>2E-3</v>
      </c>
      <c r="K156" s="67">
        <f>Finishing!K4</f>
        <v>2</v>
      </c>
      <c r="L156" s="67">
        <f>Finishing!L4</f>
        <v>4</v>
      </c>
      <c r="M156" s="67">
        <f>Finishing!M4</f>
        <v>0</v>
      </c>
      <c r="N156" s="67">
        <f>Finishing!N4</f>
        <v>2</v>
      </c>
      <c r="O156" s="67">
        <f>Finishing!O4</f>
        <v>5</v>
      </c>
      <c r="P156" s="5">
        <f>G156</f>
        <v>0.85</v>
      </c>
      <c r="Q156" s="5">
        <f>H156</f>
        <v>0.3</v>
      </c>
      <c r="R156" s="5">
        <f>I156</f>
        <v>1</v>
      </c>
      <c r="S156" s="5">
        <f>J156*(C157-C156)*$B$129</f>
        <v>0.25013092095394712</v>
      </c>
    </row>
    <row r="157" spans="1:19" x14ac:dyDescent="0.75">
      <c r="A157" s="5">
        <f>A156+10</f>
        <v>58</v>
      </c>
      <c r="B157" s="5">
        <f t="shared" ref="B157:B170" si="23">A157/$B$16*100</f>
        <v>33.142857142857139</v>
      </c>
      <c r="C157" s="5">
        <f>C156+(A157-A156)/D156</f>
        <v>77.506546047697356</v>
      </c>
      <c r="D157" s="67">
        <f>Finishing!D5</f>
        <v>0.80548945537627681</v>
      </c>
      <c r="E157" s="67">
        <f>Finishing!E5</f>
        <v>3.4115902842158219</v>
      </c>
      <c r="F157" s="67">
        <f>Finishing!F5</f>
        <v>0.115</v>
      </c>
      <c r="G157" s="68">
        <f>Finishing!G5</f>
        <v>0</v>
      </c>
      <c r="H157" s="68">
        <f>Finishing!H5</f>
        <v>0.3</v>
      </c>
      <c r="I157" s="68">
        <f>Finishing!I5</f>
        <v>0.4</v>
      </c>
      <c r="J157" s="68">
        <f>Finishing!J5</f>
        <v>2E-3</v>
      </c>
      <c r="K157" s="67">
        <f>Finishing!K5</f>
        <v>2.1</v>
      </c>
      <c r="L157" s="67">
        <f>Finishing!L5</f>
        <v>4</v>
      </c>
      <c r="M157" s="67">
        <f>Finishing!M5</f>
        <v>0</v>
      </c>
      <c r="N157" s="67">
        <f>Finishing!N5</f>
        <v>2</v>
      </c>
      <c r="O157" s="67">
        <f>Finishing!O5</f>
        <v>5</v>
      </c>
      <c r="P157" s="5">
        <f>P156+G157</f>
        <v>0.85</v>
      </c>
      <c r="Q157" s="5">
        <f>H157+Q156</f>
        <v>0.6</v>
      </c>
      <c r="R157" s="5">
        <f>I157+R156</f>
        <v>1.4</v>
      </c>
      <c r="S157" s="5">
        <f>J157*(C158-C157)*$B$129+S156</f>
        <v>0.49842715706863572</v>
      </c>
    </row>
    <row r="158" spans="1:19" x14ac:dyDescent="0.75">
      <c r="A158" s="5">
        <f t="shared" ref="A158:A170" si="24">A157+10</f>
        <v>68</v>
      </c>
      <c r="B158" s="5">
        <f t="shared" si="23"/>
        <v>38.857142857142854</v>
      </c>
      <c r="C158" s="5">
        <f t="shared" ref="C158:C170" si="25">C157+(A158-A157)/D157</f>
        <v>89.921357853431786</v>
      </c>
      <c r="D158" s="67">
        <f>Finishing!D6</f>
        <v>0.77446414795503105</v>
      </c>
      <c r="E158" s="67">
        <f>Finishing!E6</f>
        <v>3.95886627947305</v>
      </c>
      <c r="F158" s="67">
        <f>Finishing!F6</f>
        <v>0.115</v>
      </c>
      <c r="G158" s="68">
        <f>Finishing!G6</f>
        <v>0</v>
      </c>
      <c r="H158" s="68">
        <f>Finishing!H6</f>
        <v>0.2</v>
      </c>
      <c r="I158" s="68">
        <f>Finishing!I6</f>
        <v>0.4</v>
      </c>
      <c r="J158" s="68">
        <f>Finishing!J6</f>
        <v>2E-3</v>
      </c>
      <c r="K158" s="67">
        <f>Finishing!K6</f>
        <v>2.2000000000000002</v>
      </c>
      <c r="L158" s="67">
        <f>Finishing!L6</f>
        <v>4.5</v>
      </c>
      <c r="M158" s="67">
        <f>Finishing!M6</f>
        <v>0</v>
      </c>
      <c r="N158" s="67">
        <f>Finishing!N6</f>
        <v>2</v>
      </c>
      <c r="O158" s="67">
        <f>Finishing!O6</f>
        <v>5</v>
      </c>
      <c r="P158" s="5">
        <f t="shared" ref="P158:P170" si="26">P157+G158</f>
        <v>0.85</v>
      </c>
      <c r="Q158" s="5">
        <f t="shared" ref="Q158:Q170" si="27">H158+Q157</f>
        <v>0.8</v>
      </c>
      <c r="R158" s="5">
        <f t="shared" ref="R158:R170" si="28">I158+R157</f>
        <v>1.7999999999999998</v>
      </c>
      <c r="S158" s="5">
        <f t="shared" ref="S158:S169" si="29">J158*(C159-C158)*$B$129+S157</f>
        <v>0.75667022813667562</v>
      </c>
    </row>
    <row r="159" spans="1:19" x14ac:dyDescent="0.75">
      <c r="A159" s="5">
        <f t="shared" si="24"/>
        <v>78</v>
      </c>
      <c r="B159" s="5">
        <f t="shared" si="23"/>
        <v>44.571428571428569</v>
      </c>
      <c r="C159" s="5">
        <f t="shared" si="25"/>
        <v>102.83351140683378</v>
      </c>
      <c r="D159" s="67">
        <f>Finishing!D7</f>
        <v>0.72062550635879374</v>
      </c>
      <c r="E159" s="67">
        <f>Finishing!E7</f>
        <v>4.6404130446293825</v>
      </c>
      <c r="F159" s="67">
        <f>Finishing!F7</f>
        <v>0.115</v>
      </c>
      <c r="G159" s="68">
        <f>Finishing!G7</f>
        <v>0</v>
      </c>
      <c r="H159" s="68">
        <f>Finishing!H7</f>
        <v>0.2</v>
      </c>
      <c r="I159" s="68">
        <f>Finishing!I7</f>
        <v>0.4</v>
      </c>
      <c r="J159" s="68">
        <f>Finishing!J7</f>
        <v>2E-3</v>
      </c>
      <c r="K159" s="67">
        <f>Finishing!K7</f>
        <v>2.2999999999999998</v>
      </c>
      <c r="L159" s="67">
        <f>Finishing!L7</f>
        <v>4.5</v>
      </c>
      <c r="M159" s="67">
        <f>Finishing!M7</f>
        <v>0</v>
      </c>
      <c r="N159" s="67">
        <f>Finishing!N7</f>
        <v>2</v>
      </c>
      <c r="O159" s="67">
        <f>Finishing!O7</f>
        <v>5</v>
      </c>
      <c r="P159" s="5">
        <f t="shared" si="26"/>
        <v>0.85</v>
      </c>
      <c r="Q159" s="5">
        <f t="shared" si="27"/>
        <v>1</v>
      </c>
      <c r="R159" s="5">
        <f t="shared" si="28"/>
        <v>2.1999999999999997</v>
      </c>
      <c r="S159" s="5">
        <f t="shared" si="29"/>
        <v>1.0342068934853228</v>
      </c>
    </row>
    <row r="160" spans="1:19" x14ac:dyDescent="0.75">
      <c r="A160" s="5">
        <f t="shared" si="24"/>
        <v>88</v>
      </c>
      <c r="B160" s="5">
        <f t="shared" si="23"/>
        <v>50.285714285714292</v>
      </c>
      <c r="C160" s="5">
        <f t="shared" si="25"/>
        <v>116.71034467426614</v>
      </c>
      <c r="D160" s="67">
        <f>Finishing!D8</f>
        <v>0.65537759149894059</v>
      </c>
      <c r="E160" s="67">
        <f>Finishing!E8</f>
        <v>5.4655515331359776</v>
      </c>
      <c r="F160" s="67">
        <f>Finishing!F8</f>
        <v>0.115</v>
      </c>
      <c r="G160" s="68">
        <f>Finishing!G8</f>
        <v>0</v>
      </c>
      <c r="H160" s="68">
        <f>Finishing!H8</f>
        <v>0.15</v>
      </c>
      <c r="I160" s="68">
        <f>Finishing!I8</f>
        <v>0.4</v>
      </c>
      <c r="J160" s="68">
        <f>Finishing!J8</f>
        <v>2E-3</v>
      </c>
      <c r="K160" s="67">
        <f>Finishing!K8</f>
        <v>2.4</v>
      </c>
      <c r="L160" s="67">
        <f>Finishing!L8</f>
        <v>5</v>
      </c>
      <c r="M160" s="67">
        <f>Finishing!M8</f>
        <v>0</v>
      </c>
      <c r="N160" s="67">
        <f>Finishing!N8</f>
        <v>2</v>
      </c>
      <c r="O160" s="67">
        <f>Finishing!O8</f>
        <v>4</v>
      </c>
      <c r="P160" s="5">
        <f t="shared" si="26"/>
        <v>0.85</v>
      </c>
      <c r="Q160" s="5">
        <f t="shared" si="27"/>
        <v>1.1499999999999999</v>
      </c>
      <c r="R160" s="5">
        <f t="shared" si="28"/>
        <v>2.5999999999999996</v>
      </c>
      <c r="S160" s="5">
        <f t="shared" si="29"/>
        <v>1.33937448327516</v>
      </c>
    </row>
    <row r="161" spans="1:19" x14ac:dyDescent="0.75">
      <c r="A161" s="5">
        <f t="shared" si="24"/>
        <v>98</v>
      </c>
      <c r="B161" s="5">
        <f t="shared" si="23"/>
        <v>56.000000000000007</v>
      </c>
      <c r="C161" s="5">
        <f t="shared" si="25"/>
        <v>131.968724163758</v>
      </c>
      <c r="D161" s="67">
        <f>Finishing!D9</f>
        <v>0.58663869534177293</v>
      </c>
      <c r="E161" s="67">
        <f>Finishing!E9</f>
        <v>6.4434890333952319</v>
      </c>
      <c r="F161" s="67">
        <f>Finishing!F9</f>
        <v>0.11</v>
      </c>
      <c r="G161" s="68">
        <f>Finishing!G9</f>
        <v>0</v>
      </c>
      <c r="H161" s="68">
        <f>Finishing!H9</f>
        <v>0.15</v>
      </c>
      <c r="I161" s="68">
        <f>Finishing!I9</f>
        <v>0.4</v>
      </c>
      <c r="J161" s="68">
        <f>Finishing!J9</f>
        <v>2E-3</v>
      </c>
      <c r="K161" s="67">
        <f>Finishing!K9</f>
        <v>2.5</v>
      </c>
      <c r="L161" s="67">
        <f>Finishing!L9</f>
        <v>5</v>
      </c>
      <c r="M161" s="67">
        <f>Finishing!M9</f>
        <v>0</v>
      </c>
      <c r="N161" s="67">
        <f>Finishing!N9</f>
        <v>2</v>
      </c>
      <c r="O161" s="67">
        <f>Finishing!O9</f>
        <v>4</v>
      </c>
      <c r="P161" s="5">
        <f t="shared" si="26"/>
        <v>0.85</v>
      </c>
      <c r="Q161" s="5">
        <f t="shared" si="27"/>
        <v>1.2999999999999998</v>
      </c>
      <c r="R161" s="5">
        <f t="shared" si="28"/>
        <v>2.9999999999999996</v>
      </c>
      <c r="S161" s="5">
        <f t="shared" si="29"/>
        <v>1.6802998289574476</v>
      </c>
    </row>
    <row r="162" spans="1:19" x14ac:dyDescent="0.75">
      <c r="A162" s="5">
        <f t="shared" si="24"/>
        <v>108</v>
      </c>
      <c r="B162" s="5">
        <f t="shared" si="23"/>
        <v>61.714285714285708</v>
      </c>
      <c r="C162" s="5">
        <f t="shared" si="25"/>
        <v>149.01499144787238</v>
      </c>
      <c r="D162" s="67">
        <f>Finishing!D10</f>
        <v>0.51923926932535602</v>
      </c>
      <c r="E162" s="67">
        <f>Finishing!E10</f>
        <v>7.5841721392078352</v>
      </c>
      <c r="F162" s="67">
        <f>Finishing!F10</f>
        <v>0.11</v>
      </c>
      <c r="G162" s="68">
        <f>Finishing!G10</f>
        <v>0.85</v>
      </c>
      <c r="H162" s="68">
        <f>Finishing!H10</f>
        <v>0.15</v>
      </c>
      <c r="I162" s="68">
        <f>Finishing!I10</f>
        <v>0.4</v>
      </c>
      <c r="J162" s="68">
        <f>Finishing!J10</f>
        <v>2E-3</v>
      </c>
      <c r="K162" s="67">
        <f>Finishing!K10</f>
        <v>2.6</v>
      </c>
      <c r="L162" s="67">
        <f>Finishing!L10</f>
        <v>5.5</v>
      </c>
      <c r="M162" s="67">
        <f>Finishing!M10</f>
        <v>0</v>
      </c>
      <c r="N162" s="67">
        <f>Finishing!N10</f>
        <v>2</v>
      </c>
      <c r="O162" s="67">
        <f>Finishing!O10</f>
        <v>4</v>
      </c>
      <c r="P162" s="5">
        <f t="shared" si="26"/>
        <v>1.7</v>
      </c>
      <c r="Q162" s="5">
        <f t="shared" si="27"/>
        <v>1.4499999999999997</v>
      </c>
      <c r="R162" s="5">
        <f t="shared" si="28"/>
        <v>3.3999999999999995</v>
      </c>
      <c r="S162" s="5">
        <f t="shared" si="29"/>
        <v>2.0654787085515478</v>
      </c>
    </row>
    <row r="163" spans="1:19" x14ac:dyDescent="0.75">
      <c r="A163" s="5">
        <f t="shared" si="24"/>
        <v>118</v>
      </c>
      <c r="B163" s="5">
        <f t="shared" si="23"/>
        <v>67.428571428571431</v>
      </c>
      <c r="C163" s="5">
        <f t="shared" si="25"/>
        <v>168.27393542757738</v>
      </c>
      <c r="D163" s="67">
        <f>Finishing!D11</f>
        <v>0.45573186334741117</v>
      </c>
      <c r="E163" s="67">
        <f>Finishing!E11</f>
        <v>8.8999701934557311</v>
      </c>
      <c r="F163" s="67">
        <f>Finishing!F11</f>
        <v>0.11</v>
      </c>
      <c r="G163" s="68">
        <f>Finishing!G11</f>
        <v>0</v>
      </c>
      <c r="H163" s="68">
        <f>Finishing!H11</f>
        <v>0.15</v>
      </c>
      <c r="I163" s="68">
        <f>Finishing!I11</f>
        <v>0.4</v>
      </c>
      <c r="J163" s="68">
        <f>Finishing!J11</f>
        <v>2E-3</v>
      </c>
      <c r="K163" s="67">
        <f>Finishing!K11</f>
        <v>2.7</v>
      </c>
      <c r="L163" s="67">
        <f>Finishing!L11</f>
        <v>5.5</v>
      </c>
      <c r="M163" s="67">
        <f>Finishing!M11</f>
        <v>0</v>
      </c>
      <c r="N163" s="67">
        <f>Finishing!N11</f>
        <v>2</v>
      </c>
      <c r="O163" s="67">
        <f>Finishing!O11</f>
        <v>4</v>
      </c>
      <c r="P163" s="5">
        <f t="shared" si="26"/>
        <v>1.7</v>
      </c>
      <c r="Q163" s="5">
        <f t="shared" si="27"/>
        <v>1.5999999999999996</v>
      </c>
      <c r="R163" s="5">
        <f t="shared" si="28"/>
        <v>3.7999999999999994</v>
      </c>
      <c r="S163" s="5">
        <f t="shared" si="29"/>
        <v>2.5043332545799371</v>
      </c>
    </row>
    <row r="164" spans="1:19" x14ac:dyDescent="0.75">
      <c r="A164" s="5">
        <f t="shared" si="24"/>
        <v>128</v>
      </c>
      <c r="B164" s="5">
        <f t="shared" si="23"/>
        <v>73.142857142857139</v>
      </c>
      <c r="C164" s="5">
        <f t="shared" si="25"/>
        <v>190.21666272899685</v>
      </c>
      <c r="D164" s="67">
        <f>Finishing!D12</f>
        <v>0.39717641305340173</v>
      </c>
      <c r="E164" s="67">
        <f>Finishing!E12</f>
        <v>10.408473071748519</v>
      </c>
      <c r="F164" s="67">
        <f>Finishing!F12</f>
        <v>0.11</v>
      </c>
      <c r="G164" s="68">
        <f>Finishing!G12</f>
        <v>0</v>
      </c>
      <c r="H164" s="68">
        <f>Finishing!H12</f>
        <v>0.15</v>
      </c>
      <c r="I164" s="68">
        <f>Finishing!I12</f>
        <v>0.4</v>
      </c>
      <c r="J164" s="68">
        <f>Finishing!J12</f>
        <v>2E-3</v>
      </c>
      <c r="K164" s="67">
        <f>Finishing!K12</f>
        <v>2.8</v>
      </c>
      <c r="L164" s="67">
        <f>Finishing!L12</f>
        <v>6</v>
      </c>
      <c r="M164" s="67">
        <f>Finishing!M12</f>
        <v>0</v>
      </c>
      <c r="N164" s="67">
        <f>Finishing!N12</f>
        <v>2</v>
      </c>
      <c r="O164" s="67">
        <f>Finishing!O12</f>
        <v>4</v>
      </c>
      <c r="P164" s="5">
        <f t="shared" si="26"/>
        <v>1.7</v>
      </c>
      <c r="Q164" s="5">
        <f t="shared" si="27"/>
        <v>1.7499999999999996</v>
      </c>
      <c r="R164" s="5">
        <f t="shared" si="28"/>
        <v>4.1999999999999993</v>
      </c>
      <c r="S164" s="5">
        <f t="shared" si="29"/>
        <v>3.0078878298943312</v>
      </c>
    </row>
    <row r="165" spans="1:19" x14ac:dyDescent="0.75">
      <c r="A165" s="5">
        <f t="shared" si="24"/>
        <v>138</v>
      </c>
      <c r="B165" s="5">
        <f t="shared" si="23"/>
        <v>78.857142857142861</v>
      </c>
      <c r="C165" s="5">
        <f t="shared" si="25"/>
        <v>215.39439149471656</v>
      </c>
      <c r="D165" s="67">
        <f>Finishing!D13</f>
        <v>0.34374155492040259</v>
      </c>
      <c r="E165" s="67">
        <f>Finishing!E13</f>
        <v>12.137025449151981</v>
      </c>
      <c r="F165" s="67">
        <f>Finishing!F13</f>
        <v>0.11</v>
      </c>
      <c r="G165" s="68">
        <f>Finishing!G13</f>
        <v>0</v>
      </c>
      <c r="H165" s="68">
        <f>Finishing!H13</f>
        <v>0.15</v>
      </c>
      <c r="I165" s="68">
        <f>Finishing!I13</f>
        <v>0.4</v>
      </c>
      <c r="J165" s="68">
        <f>Finishing!J13</f>
        <v>2E-3</v>
      </c>
      <c r="K165" s="67">
        <f>Finishing!K13</f>
        <v>2.9</v>
      </c>
      <c r="L165" s="67">
        <f>Finishing!L13</f>
        <v>6</v>
      </c>
      <c r="M165" s="67">
        <f>Finishing!M13</f>
        <v>0</v>
      </c>
      <c r="N165" s="67">
        <f>Finishing!N13</f>
        <v>2.75</v>
      </c>
      <c r="O165" s="67">
        <f>Finishing!O13</f>
        <v>3</v>
      </c>
      <c r="P165" s="5">
        <f t="shared" si="26"/>
        <v>1.7</v>
      </c>
      <c r="Q165" s="5">
        <f t="shared" si="27"/>
        <v>1.8999999999999995</v>
      </c>
      <c r="R165" s="5">
        <f t="shared" si="28"/>
        <v>4.5999999999999996</v>
      </c>
      <c r="S165" s="5">
        <f t="shared" si="29"/>
        <v>3.5897203058843594</v>
      </c>
    </row>
    <row r="166" spans="1:19" x14ac:dyDescent="0.75">
      <c r="A166" s="5">
        <f t="shared" si="24"/>
        <v>148</v>
      </c>
      <c r="B166" s="5">
        <f t="shared" si="23"/>
        <v>84.571428571428569</v>
      </c>
      <c r="C166" s="5">
        <f t="shared" si="25"/>
        <v>244.48601529421796</v>
      </c>
      <c r="D166" s="67">
        <f>Finishing!D14</f>
        <v>0.29511059472295603</v>
      </c>
      <c r="E166" s="67">
        <f>Finishing!E14</f>
        <v>14.130295809659806</v>
      </c>
      <c r="F166" s="67">
        <f>Finishing!F14</f>
        <v>0.11</v>
      </c>
      <c r="G166" s="68">
        <f>Finishing!G14</f>
        <v>0</v>
      </c>
      <c r="H166" s="68">
        <f>Finishing!H14</f>
        <v>0.15</v>
      </c>
      <c r="I166" s="68">
        <f>Finishing!I14</f>
        <v>0.4</v>
      </c>
      <c r="J166" s="68">
        <f>Finishing!J14</f>
        <v>2E-3</v>
      </c>
      <c r="K166" s="67">
        <f>Finishing!K14</f>
        <v>3</v>
      </c>
      <c r="L166" s="67">
        <f>Finishing!L14</f>
        <v>6.5</v>
      </c>
      <c r="M166" s="67">
        <f>Finishing!M14</f>
        <v>3.5</v>
      </c>
      <c r="N166" s="67">
        <f>Finishing!N14</f>
        <v>2.75</v>
      </c>
      <c r="O166" s="67">
        <f>Finishing!O14</f>
        <v>3</v>
      </c>
      <c r="P166" s="5">
        <f t="shared" si="26"/>
        <v>1.7</v>
      </c>
      <c r="Q166" s="5">
        <f t="shared" si="27"/>
        <v>2.0499999999999994</v>
      </c>
      <c r="R166" s="5">
        <f t="shared" si="28"/>
        <v>5</v>
      </c>
      <c r="S166" s="5">
        <f t="shared" si="29"/>
        <v>4.2674323351246386</v>
      </c>
    </row>
    <row r="167" spans="1:19" x14ac:dyDescent="0.75">
      <c r="A167" s="5">
        <f t="shared" si="24"/>
        <v>158</v>
      </c>
      <c r="B167" s="5">
        <f t="shared" si="23"/>
        <v>90.285714285714278</v>
      </c>
      <c r="C167" s="5">
        <f t="shared" si="25"/>
        <v>278.3716167562319</v>
      </c>
      <c r="D167" s="67">
        <f>Finishing!D15</f>
        <v>0.25073374395891568</v>
      </c>
      <c r="E167" s="67">
        <f>Finishing!E15</f>
        <v>16.463679498505787</v>
      </c>
      <c r="F167" s="67">
        <f>Finishing!F15</f>
        <v>0.11</v>
      </c>
      <c r="G167" s="68">
        <f>Finishing!G15</f>
        <v>0</v>
      </c>
      <c r="H167" s="68">
        <f>Finishing!H15</f>
        <v>0.15</v>
      </c>
      <c r="I167" s="68">
        <f>Finishing!I15</f>
        <v>0.4</v>
      </c>
      <c r="J167" s="68">
        <f>Finishing!J15</f>
        <v>2E-3</v>
      </c>
      <c r="K167" s="67">
        <f>Finishing!K15</f>
        <v>3.1</v>
      </c>
      <c r="L167" s="67">
        <f>Finishing!L15</f>
        <v>6.5</v>
      </c>
      <c r="M167" s="67">
        <f>Finishing!M15</f>
        <v>3.5</v>
      </c>
      <c r="N167" s="67">
        <f>Finishing!N15</f>
        <v>2.75</v>
      </c>
      <c r="O167" s="67">
        <f>Finishing!O15</f>
        <v>3</v>
      </c>
      <c r="P167" s="5">
        <f t="shared" si="26"/>
        <v>1.7</v>
      </c>
      <c r="Q167" s="5">
        <f t="shared" si="27"/>
        <v>2.1999999999999993</v>
      </c>
      <c r="R167" s="5">
        <f t="shared" si="28"/>
        <v>5.4</v>
      </c>
      <c r="S167" s="5">
        <f t="shared" si="29"/>
        <v>5.0650912255561211</v>
      </c>
    </row>
    <row r="168" spans="1:19" x14ac:dyDescent="0.75">
      <c r="A168" s="5">
        <f t="shared" si="24"/>
        <v>168</v>
      </c>
      <c r="B168" s="5">
        <f t="shared" si="23"/>
        <v>96</v>
      </c>
      <c r="C168" s="5">
        <f t="shared" si="25"/>
        <v>318.25456127780603</v>
      </c>
      <c r="D168" s="67">
        <f>Finishing!D16</f>
        <v>0.20997477820430568</v>
      </c>
      <c r="E168" s="67">
        <f>Finishing!E16</f>
        <v>19.268980944288639</v>
      </c>
      <c r="F168" s="67">
        <f>Finishing!F16</f>
        <v>0.11</v>
      </c>
      <c r="G168" s="68">
        <f>Finishing!G16</f>
        <v>0</v>
      </c>
      <c r="H168" s="68">
        <f>Finishing!H16</f>
        <v>0.15</v>
      </c>
      <c r="I168" s="68">
        <f>Finishing!I16</f>
        <v>0.4</v>
      </c>
      <c r="J168" s="68">
        <f>Finishing!J16</f>
        <v>2E-3</v>
      </c>
      <c r="K168" s="67">
        <f>Finishing!K16</f>
        <v>3.2</v>
      </c>
      <c r="L168" s="67">
        <f>Finishing!L16</f>
        <v>6</v>
      </c>
      <c r="M168" s="67">
        <f>Finishing!M16</f>
        <v>3.5</v>
      </c>
      <c r="N168" s="67">
        <f>Finishing!N16</f>
        <v>2.75</v>
      </c>
      <c r="O168" s="67">
        <f>Finishing!O16</f>
        <v>3</v>
      </c>
      <c r="P168" s="5">
        <f t="shared" si="26"/>
        <v>1.7</v>
      </c>
      <c r="Q168" s="5">
        <f t="shared" si="27"/>
        <v>2.3499999999999992</v>
      </c>
      <c r="R168" s="5">
        <f t="shared" si="28"/>
        <v>5.8000000000000007</v>
      </c>
      <c r="S168" s="5">
        <f t="shared" si="29"/>
        <v>6.017586576237715</v>
      </c>
    </row>
    <row r="169" spans="1:19" x14ac:dyDescent="0.75">
      <c r="A169" s="5">
        <f t="shared" si="24"/>
        <v>178</v>
      </c>
      <c r="B169" s="5">
        <f t="shared" si="23"/>
        <v>101.71428571428571</v>
      </c>
      <c r="C169" s="5">
        <f t="shared" si="25"/>
        <v>365.87932881188573</v>
      </c>
      <c r="D169" s="67">
        <f>Finishing!D17</f>
        <v>0</v>
      </c>
      <c r="E169" s="67">
        <f>Finishing!E17</f>
        <v>0</v>
      </c>
      <c r="F169" s="67">
        <f>Finishing!F17</f>
        <v>0.11</v>
      </c>
      <c r="G169" s="68">
        <f>Finishing!G17</f>
        <v>0</v>
      </c>
      <c r="H169" s="68">
        <f>Finishing!H17</f>
        <v>0.15</v>
      </c>
      <c r="I169" s="68">
        <f>Finishing!I17</f>
        <v>0.4</v>
      </c>
      <c r="J169" s="68">
        <f>Finishing!J17</f>
        <v>2E-3</v>
      </c>
      <c r="K169" s="67">
        <f>Finishing!K17</f>
        <v>3.3</v>
      </c>
      <c r="L169" s="67">
        <f>Finishing!L17</f>
        <v>6</v>
      </c>
      <c r="M169" s="67">
        <f>Finishing!M17</f>
        <v>3.5</v>
      </c>
      <c r="N169" s="67">
        <f>Finishing!N17</f>
        <v>2.75</v>
      </c>
      <c r="O169" s="67">
        <f>Finishing!O17</f>
        <v>3</v>
      </c>
      <c r="P169" s="5">
        <f t="shared" si="26"/>
        <v>1.7</v>
      </c>
      <c r="Q169" s="5">
        <f t="shared" si="27"/>
        <v>2.4999999999999991</v>
      </c>
      <c r="R169" s="5">
        <f t="shared" si="28"/>
        <v>6.2000000000000011</v>
      </c>
      <c r="S169" s="5" t="e">
        <f t="shared" si="29"/>
        <v>#DIV/0!</v>
      </c>
    </row>
    <row r="170" spans="1:19" x14ac:dyDescent="0.75">
      <c r="A170" s="5">
        <f t="shared" si="24"/>
        <v>188</v>
      </c>
      <c r="B170" s="5">
        <f t="shared" si="23"/>
        <v>107.42857142857143</v>
      </c>
      <c r="C170" s="5" t="e">
        <f t="shared" si="25"/>
        <v>#DIV/0!</v>
      </c>
      <c r="D170" s="67">
        <f>Finishing!D18</f>
        <v>0</v>
      </c>
      <c r="E170" s="67">
        <f>Finishing!E18</f>
        <v>0</v>
      </c>
      <c r="F170" s="67">
        <f>Finishing!F18</f>
        <v>0.11</v>
      </c>
      <c r="G170" s="68">
        <f>Finishing!G18</f>
        <v>0</v>
      </c>
      <c r="H170" s="68">
        <f>Finishing!H18</f>
        <v>0.15</v>
      </c>
      <c r="I170" s="68">
        <f>Finishing!I18</f>
        <v>0.4</v>
      </c>
      <c r="J170" s="68">
        <f>Finishing!J18</f>
        <v>2E-3</v>
      </c>
      <c r="K170" s="67">
        <f>Finishing!K18</f>
        <v>3.4</v>
      </c>
      <c r="L170" s="67">
        <f>Finishing!L18</f>
        <v>6</v>
      </c>
      <c r="M170" s="67">
        <f>Finishing!M18</f>
        <v>3.5</v>
      </c>
      <c r="N170" s="67">
        <f>Finishing!N18</f>
        <v>2.75</v>
      </c>
      <c r="O170" s="67">
        <f>Finishing!O18</f>
        <v>3</v>
      </c>
      <c r="P170" s="5">
        <f t="shared" si="26"/>
        <v>1.7</v>
      </c>
      <c r="Q170" s="5">
        <f t="shared" si="27"/>
        <v>2.649999999999999</v>
      </c>
      <c r="R170" s="5">
        <f t="shared" si="28"/>
        <v>6.6000000000000014</v>
      </c>
      <c r="S170" s="5" t="e">
        <f>J170*(C170-C169)*$B$129+S169</f>
        <v>#DIV/0!</v>
      </c>
    </row>
    <row r="172" spans="1:19" x14ac:dyDescent="0.75">
      <c r="A172" s="1" t="s">
        <v>89</v>
      </c>
      <c r="B172" s="3"/>
      <c r="C172" s="3"/>
      <c r="D172" s="3"/>
      <c r="E172" s="3"/>
      <c r="F172" s="4"/>
      <c r="G172" s="3"/>
      <c r="H172" s="5"/>
      <c r="I172" s="3"/>
      <c r="J172" s="3" t="s">
        <v>128</v>
      </c>
      <c r="K172" s="3"/>
      <c r="L172" s="3"/>
      <c r="M172" s="3"/>
      <c r="N172" s="3"/>
      <c r="O172" s="5"/>
      <c r="P172" s="3"/>
      <c r="Q172" s="5"/>
      <c r="R172" s="5"/>
      <c r="S172" s="5"/>
    </row>
    <row r="173" spans="1:19" x14ac:dyDescent="0.75">
      <c r="A173" s="3" t="s">
        <v>0</v>
      </c>
      <c r="B173" s="3" t="s">
        <v>1</v>
      </c>
      <c r="C173" s="3" t="s">
        <v>90</v>
      </c>
      <c r="D173" s="3" t="s">
        <v>90</v>
      </c>
      <c r="E173" s="3" t="s">
        <v>91</v>
      </c>
      <c r="F173" s="3" t="s">
        <v>91</v>
      </c>
      <c r="G173" s="3" t="s">
        <v>92</v>
      </c>
      <c r="H173" s="3" t="s">
        <v>4</v>
      </c>
      <c r="I173" s="4" t="s">
        <v>5</v>
      </c>
      <c r="J173" s="3" t="s">
        <v>5</v>
      </c>
      <c r="K173" s="5" t="s">
        <v>129</v>
      </c>
      <c r="L173" s="3" t="s">
        <v>20</v>
      </c>
      <c r="M173" s="3" t="s">
        <v>122</v>
      </c>
      <c r="N173" s="3" t="s">
        <v>94</v>
      </c>
      <c r="O173" s="3" t="s">
        <v>95</v>
      </c>
      <c r="P173" s="5" t="s">
        <v>115</v>
      </c>
      <c r="Q173" s="5" t="s">
        <v>116</v>
      </c>
      <c r="R173" s="5" t="s">
        <v>113</v>
      </c>
      <c r="S173" s="5"/>
    </row>
    <row r="174" spans="1:19" x14ac:dyDescent="0.75">
      <c r="A174" s="3" t="s">
        <v>24</v>
      </c>
      <c r="B174" s="3" t="s">
        <v>11</v>
      </c>
      <c r="C174" s="3" t="s">
        <v>76</v>
      </c>
      <c r="D174" s="3" t="s">
        <v>174</v>
      </c>
      <c r="E174" s="3" t="s">
        <v>76</v>
      </c>
      <c r="F174" s="3" t="s">
        <v>93</v>
      </c>
      <c r="G174" s="3" t="s">
        <v>76</v>
      </c>
      <c r="H174" s="3" t="s">
        <v>73</v>
      </c>
      <c r="I174" s="4" t="s">
        <v>74</v>
      </c>
      <c r="J174" s="3" t="s">
        <v>75</v>
      </c>
      <c r="K174" s="5" t="s">
        <v>76</v>
      </c>
      <c r="L174" s="3" t="s">
        <v>76</v>
      </c>
      <c r="M174" s="3" t="s">
        <v>76</v>
      </c>
      <c r="N174" s="3" t="s">
        <v>120</v>
      </c>
      <c r="O174" s="3" t="s">
        <v>121</v>
      </c>
      <c r="P174" s="3" t="s">
        <v>117</v>
      </c>
      <c r="Q174" s="3" t="s">
        <v>117</v>
      </c>
      <c r="R174" s="3" t="s">
        <v>117</v>
      </c>
      <c r="S174" s="5"/>
    </row>
    <row r="175" spans="1:19" x14ac:dyDescent="0.75">
      <c r="A175" s="11">
        <f>B102</f>
        <v>48</v>
      </c>
      <c r="B175" s="15">
        <f>Comparisons!E31</f>
        <v>2.4</v>
      </c>
      <c r="C175" s="48">
        <f t="shared" ref="C175:C189" si="30">G175-E175-F175</f>
        <v>20.693848396157637</v>
      </c>
      <c r="D175" s="48">
        <f>C175*$B$126*(1-Q156/100)</f>
        <v>31.811168119880836</v>
      </c>
      <c r="E175" s="49">
        <f t="shared" ref="E175:E189" si="31">K175+M175+P156+R156+S156+K156+L156+M156+(N175+O175+P175+Q175)</f>
        <v>105.47077123681372</v>
      </c>
      <c r="F175" s="49">
        <f t="shared" ref="F175:F189" si="32">(K175+P156+R156+S156+M156+(N175+O175+P175+Q175))*(Q156/100)</f>
        <v>0.29740431371044118</v>
      </c>
      <c r="G175" s="49">
        <f t="shared" ref="G175:G189" si="33">L175+N156+R175</f>
        <v>126.4620239466818</v>
      </c>
      <c r="H175" s="5">
        <f t="shared" ref="H175:H189" si="34">D156*E156</f>
        <v>2.3899999999999997</v>
      </c>
      <c r="I175" s="5">
        <f t="shared" ref="I175:I189" si="35">H175*F156</f>
        <v>0.27484999999999998</v>
      </c>
      <c r="J175" s="5">
        <f t="shared" ref="J175:J188" si="36">I175*(C157-C156)</f>
        <v>3.437424181209618</v>
      </c>
      <c r="K175" s="5">
        <f>$B$112+J175</f>
        <v>3.437424181209618</v>
      </c>
      <c r="L175" s="5">
        <f t="shared" ref="L175:L189" si="37">A175*(1-O156/100)*B175</f>
        <v>109.43999999999998</v>
      </c>
      <c r="M175" s="5">
        <f t="shared" ref="M175:M189" si="38">0.007*A175</f>
        <v>0.33600000000000002</v>
      </c>
      <c r="N175" s="5">
        <f>$F$126/(1-$B$140/100)</f>
        <v>61.275973346462017</v>
      </c>
      <c r="O175" s="5">
        <f>$B$137/(1-$B$140/100)</f>
        <v>25.912275973552475</v>
      </c>
      <c r="P175" s="5">
        <f>$B$145/(1-$B$140/100)</f>
        <v>4.6442609322827177</v>
      </c>
      <c r="Q175" s="5">
        <f>$B$148/(1-$B$140/100)</f>
        <v>1.7647058823529411</v>
      </c>
      <c r="R175" s="5">
        <f>$B$151/(1-$B$140/100)</f>
        <v>15.022023946681815</v>
      </c>
      <c r="S175" s="5"/>
    </row>
    <row r="176" spans="1:19" x14ac:dyDescent="0.75">
      <c r="A176" s="11">
        <f>A175+10</f>
        <v>58</v>
      </c>
      <c r="B176" s="15">
        <f>Comparisons!E32</f>
        <v>2.2999999999999998</v>
      </c>
      <c r="C176" s="48">
        <f t="shared" si="30"/>
        <v>32.917389269106529</v>
      </c>
      <c r="D176" s="48">
        <f t="shared" ref="D176:D189" si="39">C176*$B$126*(1-Q157/100)</f>
        <v>50.449278920267211</v>
      </c>
      <c r="E176" s="49">
        <f t="shared" si="31"/>
        <v>110.2123962997766</v>
      </c>
      <c r="F176" s="49">
        <f t="shared" si="32"/>
        <v>0.62223837779865965</v>
      </c>
      <c r="G176" s="49">
        <f t="shared" si="33"/>
        <v>143.75202394668179</v>
      </c>
      <c r="H176" s="5">
        <f t="shared" si="34"/>
        <v>2.7479999999999998</v>
      </c>
      <c r="I176" s="5">
        <f t="shared" si="35"/>
        <v>0.31601999999999997</v>
      </c>
      <c r="J176" s="5">
        <f t="shared" si="36"/>
        <v>3.9233288268481945</v>
      </c>
      <c r="K176" s="5">
        <f>K175+J176</f>
        <v>7.360753008057813</v>
      </c>
      <c r="L176" s="5">
        <f t="shared" si="37"/>
        <v>126.72999999999998</v>
      </c>
      <c r="M176" s="5">
        <f t="shared" si="38"/>
        <v>0.40600000000000003</v>
      </c>
      <c r="N176" s="5">
        <f t="shared" ref="N176:N189" si="40">$F$126/(1-$B$140/100)</f>
        <v>61.275973346462017</v>
      </c>
      <c r="O176" s="5">
        <f t="shared" ref="O176:O189" si="41">$B$137/(1-$B$140/100)</f>
        <v>25.912275973552475</v>
      </c>
      <c r="P176" s="5">
        <f t="shared" ref="P176:P189" si="42">$B$145/(1-$B$140/100)</f>
        <v>4.6442609322827177</v>
      </c>
      <c r="Q176" s="5">
        <f t="shared" ref="Q176:Q189" si="43">$B$148/(1-$B$140/100)</f>
        <v>1.7647058823529411</v>
      </c>
      <c r="R176" s="5">
        <f t="shared" ref="R176:R189" si="44">$B$151/(1-$B$140/100)</f>
        <v>15.022023946681815</v>
      </c>
      <c r="S176" s="5"/>
    </row>
    <row r="177" spans="1:19" x14ac:dyDescent="0.75">
      <c r="A177" s="11">
        <f t="shared" ref="A177:A189" si="45">A176+10</f>
        <v>68</v>
      </c>
      <c r="B177" s="15">
        <f>Comparisons!E33</f>
        <v>2.25</v>
      </c>
      <c r="C177" s="48">
        <f t="shared" si="30"/>
        <v>45.407349669705269</v>
      </c>
      <c r="D177" s="48">
        <f t="shared" si="39"/>
        <v>69.451402679074505</v>
      </c>
      <c r="E177" s="49">
        <f t="shared" si="31"/>
        <v>116.09333559223865</v>
      </c>
      <c r="F177" s="49">
        <f t="shared" si="32"/>
        <v>0.87133868473790921</v>
      </c>
      <c r="G177" s="49">
        <f t="shared" si="33"/>
        <v>162.37202394668182</v>
      </c>
      <c r="H177" s="5">
        <f t="shared" si="34"/>
        <v>3.0659999999999994</v>
      </c>
      <c r="I177" s="5">
        <f t="shared" si="35"/>
        <v>0.35258999999999996</v>
      </c>
      <c r="J177" s="5">
        <f t="shared" si="36"/>
        <v>4.5526962213940081</v>
      </c>
      <c r="K177" s="5">
        <f t="shared" ref="K177:K189" si="46">K176+J177</f>
        <v>11.913449229451821</v>
      </c>
      <c r="L177" s="5">
        <f t="shared" si="37"/>
        <v>145.35</v>
      </c>
      <c r="M177" s="5">
        <f t="shared" si="38"/>
        <v>0.47600000000000003</v>
      </c>
      <c r="N177" s="5">
        <f t="shared" si="40"/>
        <v>61.275973346462017</v>
      </c>
      <c r="O177" s="5">
        <f t="shared" si="41"/>
        <v>25.912275973552475</v>
      </c>
      <c r="P177" s="5">
        <f t="shared" si="42"/>
        <v>4.6442609322827177</v>
      </c>
      <c r="Q177" s="5">
        <f t="shared" si="43"/>
        <v>1.7647058823529411</v>
      </c>
      <c r="R177" s="5">
        <f t="shared" si="44"/>
        <v>15.022023946681815</v>
      </c>
      <c r="S177" s="5"/>
    </row>
    <row r="178" spans="1:19" x14ac:dyDescent="0.75">
      <c r="A178" s="11">
        <f t="shared" si="45"/>
        <v>78</v>
      </c>
      <c r="B178" s="15">
        <f>Comparisons!E34</f>
        <v>2.15</v>
      </c>
      <c r="C178" s="48">
        <f t="shared" si="30"/>
        <v>52.91036321518159</v>
      </c>
      <c r="D178" s="48">
        <f t="shared" si="39"/>
        <v>80.764244136880876</v>
      </c>
      <c r="E178" s="49">
        <f t="shared" si="31"/>
        <v>122.27734725891109</v>
      </c>
      <c r="F178" s="49">
        <f t="shared" si="32"/>
        <v>1.149313472589111</v>
      </c>
      <c r="G178" s="49">
        <f t="shared" si="33"/>
        <v>176.3370239466818</v>
      </c>
      <c r="H178" s="5">
        <f t="shared" si="34"/>
        <v>3.3440000000000007</v>
      </c>
      <c r="I178" s="5">
        <f t="shared" si="35"/>
        <v>0.38456000000000012</v>
      </c>
      <c r="J178" s="5">
        <f t="shared" si="36"/>
        <v>5.33647500132379</v>
      </c>
      <c r="K178" s="5">
        <f t="shared" si="46"/>
        <v>17.249924230775612</v>
      </c>
      <c r="L178" s="5">
        <f t="shared" si="37"/>
        <v>159.31499999999997</v>
      </c>
      <c r="M178" s="5">
        <f t="shared" si="38"/>
        <v>0.54600000000000004</v>
      </c>
      <c r="N178" s="5">
        <f t="shared" si="40"/>
        <v>61.275973346462017</v>
      </c>
      <c r="O178" s="5">
        <f t="shared" si="41"/>
        <v>25.912275973552475</v>
      </c>
      <c r="P178" s="5">
        <f t="shared" si="42"/>
        <v>4.6442609322827177</v>
      </c>
      <c r="Q178" s="5">
        <f t="shared" si="43"/>
        <v>1.7647058823529411</v>
      </c>
      <c r="R178" s="5">
        <f t="shared" si="44"/>
        <v>15.022023946681815</v>
      </c>
      <c r="S178" s="5"/>
    </row>
    <row r="179" spans="1:19" x14ac:dyDescent="0.75">
      <c r="A179" s="11">
        <f t="shared" si="45"/>
        <v>88</v>
      </c>
      <c r="B179" s="15">
        <f>Comparisons!E35</f>
        <v>2.0499999999999998</v>
      </c>
      <c r="C179" s="48">
        <f t="shared" si="30"/>
        <v>58.866022995088684</v>
      </c>
      <c r="D179" s="48">
        <f t="shared" si="39"/>
        <v>89.719029031537417</v>
      </c>
      <c r="E179" s="49">
        <f t="shared" si="31"/>
        <v>129.93789911180733</v>
      </c>
      <c r="F179" s="49">
        <f t="shared" si="32"/>
        <v>1.4021018397857841</v>
      </c>
      <c r="G179" s="49">
        <f t="shared" si="33"/>
        <v>190.2060239466818</v>
      </c>
      <c r="H179" s="5">
        <f t="shared" si="34"/>
        <v>3.5819999999999994</v>
      </c>
      <c r="I179" s="5">
        <f t="shared" si="35"/>
        <v>0.41192999999999996</v>
      </c>
      <c r="J179" s="5">
        <f t="shared" si="36"/>
        <v>6.2853842631063808</v>
      </c>
      <c r="K179" s="5">
        <f t="shared" si="46"/>
        <v>23.535308493881992</v>
      </c>
      <c r="L179" s="5">
        <f t="shared" si="37"/>
        <v>173.18399999999997</v>
      </c>
      <c r="M179" s="5">
        <f t="shared" si="38"/>
        <v>0.61599999999999999</v>
      </c>
      <c r="N179" s="5">
        <f t="shared" si="40"/>
        <v>61.275973346462017</v>
      </c>
      <c r="O179" s="5">
        <f t="shared" si="41"/>
        <v>25.912275973552475</v>
      </c>
      <c r="P179" s="5">
        <f t="shared" si="42"/>
        <v>4.6442609322827177</v>
      </c>
      <c r="Q179" s="5">
        <f t="shared" si="43"/>
        <v>1.7647058823529411</v>
      </c>
      <c r="R179" s="5">
        <f t="shared" si="44"/>
        <v>15.022023946681815</v>
      </c>
      <c r="S179" s="5"/>
    </row>
    <row r="180" spans="1:19" x14ac:dyDescent="0.75">
      <c r="A180" s="11">
        <f t="shared" si="45"/>
        <v>98</v>
      </c>
      <c r="B180" s="15">
        <f>Comparisons!E36</f>
        <v>1.95</v>
      </c>
      <c r="C180" s="48">
        <f t="shared" si="30"/>
        <v>60.854602941332544</v>
      </c>
      <c r="D180" s="48">
        <f t="shared" si="39"/>
        <v>92.609125082281153</v>
      </c>
      <c r="E180" s="49">
        <f t="shared" si="31"/>
        <v>137.93666239422436</v>
      </c>
      <c r="F180" s="49">
        <f t="shared" si="32"/>
        <v>1.6867586111249162</v>
      </c>
      <c r="G180" s="49">
        <f t="shared" si="33"/>
        <v>200.47802394668182</v>
      </c>
      <c r="H180" s="5">
        <f t="shared" si="34"/>
        <v>3.7800000000000002</v>
      </c>
      <c r="I180" s="5">
        <f t="shared" si="35"/>
        <v>0.4158</v>
      </c>
      <c r="J180" s="5">
        <f t="shared" si="36"/>
        <v>7.0878379367347586</v>
      </c>
      <c r="K180" s="5">
        <f t="shared" si="46"/>
        <v>30.62314643061675</v>
      </c>
      <c r="L180" s="5">
        <f t="shared" si="37"/>
        <v>183.45599999999999</v>
      </c>
      <c r="M180" s="5">
        <f t="shared" si="38"/>
        <v>0.68600000000000005</v>
      </c>
      <c r="N180" s="5">
        <f t="shared" si="40"/>
        <v>61.275973346462017</v>
      </c>
      <c r="O180" s="5">
        <f t="shared" si="41"/>
        <v>25.912275973552475</v>
      </c>
      <c r="P180" s="5">
        <f t="shared" si="42"/>
        <v>4.6442609322827177</v>
      </c>
      <c r="Q180" s="5">
        <f t="shared" si="43"/>
        <v>1.7647058823529411</v>
      </c>
      <c r="R180" s="5">
        <f t="shared" si="44"/>
        <v>15.022023946681815</v>
      </c>
      <c r="S180" s="5"/>
    </row>
    <row r="181" spans="1:19" x14ac:dyDescent="0.75">
      <c r="A181" s="11">
        <f t="shared" si="45"/>
        <v>108</v>
      </c>
      <c r="B181" s="15">
        <f>Comparisons!E37</f>
        <v>1.85</v>
      </c>
      <c r="C181" s="48">
        <f t="shared" si="30"/>
        <v>58.219531075644021</v>
      </c>
      <c r="D181" s="48">
        <f t="shared" si="39"/>
        <v>88.464398147463413</v>
      </c>
      <c r="E181" s="49">
        <f t="shared" si="31"/>
        <v>148.58443062694707</v>
      </c>
      <c r="F181" s="49">
        <f t="shared" si="32"/>
        <v>2.0260622440907321</v>
      </c>
      <c r="G181" s="49">
        <f t="shared" si="33"/>
        <v>208.83002394668182</v>
      </c>
      <c r="H181" s="5">
        <f t="shared" si="34"/>
        <v>3.9379999999999988</v>
      </c>
      <c r="I181" s="5">
        <f t="shared" si="35"/>
        <v>0.4331799999999999</v>
      </c>
      <c r="J181" s="5">
        <f t="shared" si="36"/>
        <v>8.3425893531286146</v>
      </c>
      <c r="K181" s="5">
        <f t="shared" si="46"/>
        <v>38.965735783745366</v>
      </c>
      <c r="L181" s="5">
        <f t="shared" si="37"/>
        <v>191.80799999999999</v>
      </c>
      <c r="M181" s="5">
        <f t="shared" si="38"/>
        <v>0.75600000000000001</v>
      </c>
      <c r="N181" s="5">
        <f t="shared" si="40"/>
        <v>61.275973346462017</v>
      </c>
      <c r="O181" s="5">
        <f t="shared" si="41"/>
        <v>25.912275973552475</v>
      </c>
      <c r="P181" s="5">
        <f t="shared" si="42"/>
        <v>4.6442609322827177</v>
      </c>
      <c r="Q181" s="5">
        <f t="shared" si="43"/>
        <v>1.7647058823529411</v>
      </c>
      <c r="R181" s="5">
        <f t="shared" si="44"/>
        <v>15.022023946681815</v>
      </c>
      <c r="S181" s="5"/>
    </row>
    <row r="182" spans="1:19" x14ac:dyDescent="0.75">
      <c r="A182" s="11">
        <f t="shared" si="45"/>
        <v>118</v>
      </c>
      <c r="B182" s="15">
        <f>Comparisons!E38</f>
        <v>1.68</v>
      </c>
      <c r="C182" s="48">
        <f t="shared" si="30"/>
        <v>45.543455522732629</v>
      </c>
      <c r="D182" s="48">
        <f t="shared" si="39"/>
        <v>69.097808363450582</v>
      </c>
      <c r="E182" s="49">
        <f t="shared" si="31"/>
        <v>159.38325238577676</v>
      </c>
      <c r="F182" s="49">
        <f t="shared" si="32"/>
        <v>2.4057160381724279</v>
      </c>
      <c r="G182" s="49">
        <f t="shared" si="33"/>
        <v>207.33242394668181</v>
      </c>
      <c r="H182" s="5">
        <f t="shared" si="34"/>
        <v>4.056</v>
      </c>
      <c r="I182" s="5">
        <f t="shared" si="35"/>
        <v>0.44616</v>
      </c>
      <c r="J182" s="5">
        <f t="shared" si="36"/>
        <v>9.7899672128013098</v>
      </c>
      <c r="K182" s="5">
        <f t="shared" si="46"/>
        <v>48.755702996546674</v>
      </c>
      <c r="L182" s="5">
        <f t="shared" si="37"/>
        <v>190.31039999999999</v>
      </c>
      <c r="M182" s="5">
        <f t="shared" si="38"/>
        <v>0.82600000000000007</v>
      </c>
      <c r="N182" s="5">
        <f t="shared" si="40"/>
        <v>61.275973346462017</v>
      </c>
      <c r="O182" s="5">
        <f t="shared" si="41"/>
        <v>25.912275973552475</v>
      </c>
      <c r="P182" s="5">
        <f t="shared" si="42"/>
        <v>4.6442609322827177</v>
      </c>
      <c r="Q182" s="5">
        <f t="shared" si="43"/>
        <v>1.7647058823529411</v>
      </c>
      <c r="R182" s="5">
        <f t="shared" si="44"/>
        <v>15.022023946681815</v>
      </c>
      <c r="S182" s="5"/>
    </row>
    <row r="183" spans="1:19" x14ac:dyDescent="0.75">
      <c r="A183" s="11">
        <f t="shared" si="45"/>
        <v>128</v>
      </c>
      <c r="B183" s="15">
        <f>Comparisons!E39</f>
        <v>1.65</v>
      </c>
      <c r="C183" s="48">
        <f t="shared" si="30"/>
        <v>44.520469378217022</v>
      </c>
      <c r="D183" s="48">
        <f t="shared" si="39"/>
        <v>67.442783928037272</v>
      </c>
      <c r="E183" s="49">
        <f t="shared" si="31"/>
        <v>172.40612734001454</v>
      </c>
      <c r="F183" s="49">
        <f t="shared" si="32"/>
        <v>2.8474272284502535</v>
      </c>
      <c r="G183" s="49">
        <f t="shared" si="33"/>
        <v>219.77402394668181</v>
      </c>
      <c r="H183" s="5">
        <f t="shared" si="34"/>
        <v>4.1339999999999986</v>
      </c>
      <c r="I183" s="5">
        <f t="shared" si="35"/>
        <v>0.45473999999999987</v>
      </c>
      <c r="J183" s="5">
        <f t="shared" si="36"/>
        <v>11.449320378923376</v>
      </c>
      <c r="K183" s="5">
        <f t="shared" si="46"/>
        <v>60.205023375470049</v>
      </c>
      <c r="L183" s="5">
        <f t="shared" si="37"/>
        <v>202.75199999999998</v>
      </c>
      <c r="M183" s="5">
        <f t="shared" si="38"/>
        <v>0.89600000000000002</v>
      </c>
      <c r="N183" s="5">
        <f t="shared" si="40"/>
        <v>61.275973346462017</v>
      </c>
      <c r="O183" s="5">
        <f t="shared" si="41"/>
        <v>25.912275973552475</v>
      </c>
      <c r="P183" s="5">
        <f t="shared" si="42"/>
        <v>4.6442609322827177</v>
      </c>
      <c r="Q183" s="5">
        <f t="shared" si="43"/>
        <v>1.7647058823529411</v>
      </c>
      <c r="R183" s="5">
        <f t="shared" si="44"/>
        <v>15.022023946681815</v>
      </c>
      <c r="S183" s="5"/>
    </row>
    <row r="184" spans="1:19" x14ac:dyDescent="0.75">
      <c r="A184" s="11">
        <f t="shared" si="45"/>
        <v>138</v>
      </c>
      <c r="B184" s="15">
        <f>Comparisons!E40</f>
        <v>1.6</v>
      </c>
      <c r="C184" s="48">
        <f t="shared" si="30"/>
        <v>41.675525068218711</v>
      </c>
      <c r="D184" s="48">
        <f t="shared" si="39"/>
        <v>63.036672926253132</v>
      </c>
      <c r="E184" s="49">
        <f t="shared" si="31"/>
        <v>186.90868781007174</v>
      </c>
      <c r="F184" s="49">
        <f t="shared" si="32"/>
        <v>3.3638110683913625</v>
      </c>
      <c r="G184" s="49">
        <f t="shared" si="33"/>
        <v>231.94802394668181</v>
      </c>
      <c r="H184" s="5">
        <f t="shared" si="34"/>
        <v>4.1719999999999997</v>
      </c>
      <c r="I184" s="5">
        <f t="shared" si="35"/>
        <v>0.45891999999999999</v>
      </c>
      <c r="J184" s="5">
        <f t="shared" si="36"/>
        <v>13.350727994067185</v>
      </c>
      <c r="K184" s="5">
        <f t="shared" si="46"/>
        <v>73.555751369537234</v>
      </c>
      <c r="L184" s="5">
        <f t="shared" si="37"/>
        <v>214.17599999999999</v>
      </c>
      <c r="M184" s="5">
        <f t="shared" si="38"/>
        <v>0.96599999999999997</v>
      </c>
      <c r="N184" s="5">
        <f t="shared" si="40"/>
        <v>61.275973346462017</v>
      </c>
      <c r="O184" s="5">
        <f t="shared" si="41"/>
        <v>25.912275973552475</v>
      </c>
      <c r="P184" s="5">
        <f t="shared" si="42"/>
        <v>4.6442609322827177</v>
      </c>
      <c r="Q184" s="5">
        <f t="shared" si="43"/>
        <v>1.7647058823529411</v>
      </c>
      <c r="R184" s="5">
        <f t="shared" si="44"/>
        <v>15.022023946681815</v>
      </c>
      <c r="S184" s="5"/>
    </row>
    <row r="185" spans="1:19" x14ac:dyDescent="0.75">
      <c r="A185" s="11">
        <f t="shared" si="45"/>
        <v>148</v>
      </c>
      <c r="B185" s="15">
        <f>Comparisons!E41</f>
        <v>1.55</v>
      </c>
      <c r="C185" s="48">
        <f t="shared" si="30"/>
        <v>28.548442349530276</v>
      </c>
      <c r="D185" s="48">
        <f t="shared" si="39"/>
        <v>43.115165072129749</v>
      </c>
      <c r="E185" s="49">
        <f t="shared" si="31"/>
        <v>207.69972522993783</v>
      </c>
      <c r="F185" s="49">
        <f t="shared" si="32"/>
        <v>4.0418563672137244</v>
      </c>
      <c r="G185" s="49">
        <f t="shared" si="33"/>
        <v>240.29002394668183</v>
      </c>
      <c r="H185" s="5">
        <f t="shared" si="34"/>
        <v>4.169999999999999</v>
      </c>
      <c r="I185" s="5">
        <f t="shared" si="35"/>
        <v>0.45869999999999989</v>
      </c>
      <c r="J185" s="5">
        <f t="shared" si="36"/>
        <v>15.543325390625789</v>
      </c>
      <c r="K185" s="5">
        <f t="shared" si="46"/>
        <v>89.09907676016303</v>
      </c>
      <c r="L185" s="5">
        <f t="shared" si="37"/>
        <v>222.518</v>
      </c>
      <c r="M185" s="5">
        <f t="shared" si="38"/>
        <v>1.036</v>
      </c>
      <c r="N185" s="5">
        <f t="shared" si="40"/>
        <v>61.275973346462017</v>
      </c>
      <c r="O185" s="5">
        <f t="shared" si="41"/>
        <v>25.912275973552475</v>
      </c>
      <c r="P185" s="5">
        <f t="shared" si="42"/>
        <v>4.6442609322827177</v>
      </c>
      <c r="Q185" s="5">
        <f t="shared" si="43"/>
        <v>1.7647058823529411</v>
      </c>
      <c r="R185" s="5">
        <f t="shared" si="44"/>
        <v>15.022023946681815</v>
      </c>
      <c r="S185" s="5"/>
    </row>
    <row r="186" spans="1:19" x14ac:dyDescent="0.75">
      <c r="A186" s="11">
        <f t="shared" si="45"/>
        <v>158</v>
      </c>
      <c r="B186" s="15">
        <f>Comparisons!E42</f>
        <v>1.4</v>
      </c>
      <c r="C186" s="48">
        <f t="shared" si="30"/>
        <v>0.39622088344416273</v>
      </c>
      <c r="D186" s="48">
        <f t="shared" si="39"/>
        <v>0.59747455193262911</v>
      </c>
      <c r="E186" s="49">
        <f t="shared" si="31"/>
        <v>227.17743156872567</v>
      </c>
      <c r="F186" s="49">
        <f t="shared" si="32"/>
        <v>4.7623714945119628</v>
      </c>
      <c r="G186" s="49">
        <f t="shared" si="33"/>
        <v>232.33602394668179</v>
      </c>
      <c r="H186" s="5">
        <f t="shared" si="34"/>
        <v>4.1279999999999992</v>
      </c>
      <c r="I186" s="5">
        <f t="shared" si="35"/>
        <v>0.45407999999999993</v>
      </c>
      <c r="J186" s="5">
        <f t="shared" si="36"/>
        <v>18.110047448356379</v>
      </c>
      <c r="K186" s="5">
        <f t="shared" si="46"/>
        <v>107.20912420851941</v>
      </c>
      <c r="L186" s="5">
        <f t="shared" si="37"/>
        <v>214.56399999999996</v>
      </c>
      <c r="M186" s="5">
        <f t="shared" si="38"/>
        <v>1.1060000000000001</v>
      </c>
      <c r="N186" s="5">
        <f t="shared" si="40"/>
        <v>61.275973346462017</v>
      </c>
      <c r="O186" s="5">
        <f t="shared" si="41"/>
        <v>25.912275973552475</v>
      </c>
      <c r="P186" s="5">
        <f t="shared" si="42"/>
        <v>4.6442609322827177</v>
      </c>
      <c r="Q186" s="5">
        <f t="shared" si="43"/>
        <v>1.7647058823529411</v>
      </c>
      <c r="R186" s="5">
        <f t="shared" si="44"/>
        <v>15.022023946681815</v>
      </c>
      <c r="S186" s="5"/>
    </row>
    <row r="187" spans="1:19" x14ac:dyDescent="0.75">
      <c r="A187" s="11">
        <f t="shared" si="45"/>
        <v>168</v>
      </c>
      <c r="B187" s="15">
        <f>Comparisons!E43</f>
        <v>1.3</v>
      </c>
      <c r="C187" s="48">
        <f t="shared" si="30"/>
        <v>-25.392747451458845</v>
      </c>
      <c r="D187" s="48">
        <f t="shared" si="39"/>
        <v>-38.231834402936038</v>
      </c>
      <c r="E187" s="49">
        <f t="shared" si="31"/>
        <v>249.39580595812475</v>
      </c>
      <c r="F187" s="49">
        <f t="shared" si="32"/>
        <v>5.6169654400159308</v>
      </c>
      <c r="G187" s="49">
        <f t="shared" si="33"/>
        <v>229.62002394668184</v>
      </c>
      <c r="H187" s="5">
        <f t="shared" si="34"/>
        <v>4.0459999999999994</v>
      </c>
      <c r="I187" s="5">
        <f t="shared" si="35"/>
        <v>0.44505999999999996</v>
      </c>
      <c r="J187" s="5">
        <f t="shared" si="36"/>
        <v>21.195879038717507</v>
      </c>
      <c r="K187" s="5">
        <f t="shared" si="46"/>
        <v>128.40500324723692</v>
      </c>
      <c r="L187" s="5">
        <f t="shared" si="37"/>
        <v>211.84800000000001</v>
      </c>
      <c r="M187" s="5">
        <f t="shared" si="38"/>
        <v>1.1759999999999999</v>
      </c>
      <c r="N187" s="5">
        <f t="shared" si="40"/>
        <v>61.275973346462017</v>
      </c>
      <c r="O187" s="5">
        <f t="shared" si="41"/>
        <v>25.912275973552475</v>
      </c>
      <c r="P187" s="5">
        <f t="shared" si="42"/>
        <v>4.6442609322827177</v>
      </c>
      <c r="Q187" s="5">
        <f t="shared" si="43"/>
        <v>1.7647058823529411</v>
      </c>
      <c r="R187" s="5">
        <f t="shared" si="44"/>
        <v>15.022023946681815</v>
      </c>
      <c r="S187" s="5"/>
    </row>
    <row r="188" spans="1:19" x14ac:dyDescent="0.75">
      <c r="A188" s="11">
        <f t="shared" si="45"/>
        <v>178</v>
      </c>
      <c r="B188" s="15">
        <f>Comparisons!E44</f>
        <v>0</v>
      </c>
      <c r="C188" s="48" t="e">
        <f t="shared" si="30"/>
        <v>#DIV/0!</v>
      </c>
      <c r="D188" s="48" t="e">
        <f t="shared" si="39"/>
        <v>#DIV/0!</v>
      </c>
      <c r="E188" s="49" t="e">
        <f t="shared" si="31"/>
        <v>#DIV/0!</v>
      </c>
      <c r="F188" s="49" t="e">
        <f t="shared" si="32"/>
        <v>#DIV/0!</v>
      </c>
      <c r="G188" s="49">
        <f t="shared" si="33"/>
        <v>17.772023946681813</v>
      </c>
      <c r="H188" s="5">
        <f t="shared" si="34"/>
        <v>0</v>
      </c>
      <c r="I188" s="5">
        <f t="shared" si="35"/>
        <v>0</v>
      </c>
      <c r="J188" s="5" t="e">
        <f t="shared" si="36"/>
        <v>#DIV/0!</v>
      </c>
      <c r="K188" s="5" t="e">
        <f t="shared" si="46"/>
        <v>#DIV/0!</v>
      </c>
      <c r="L188" s="5">
        <f t="shared" si="37"/>
        <v>0</v>
      </c>
      <c r="M188" s="5">
        <f t="shared" si="38"/>
        <v>1.246</v>
      </c>
      <c r="N188" s="5">
        <f t="shared" si="40"/>
        <v>61.275973346462017</v>
      </c>
      <c r="O188" s="5">
        <f t="shared" si="41"/>
        <v>25.912275973552475</v>
      </c>
      <c r="P188" s="5">
        <f t="shared" si="42"/>
        <v>4.6442609322827177</v>
      </c>
      <c r="Q188" s="5">
        <f t="shared" si="43"/>
        <v>1.7647058823529411</v>
      </c>
      <c r="R188" s="5">
        <f t="shared" si="44"/>
        <v>15.022023946681815</v>
      </c>
      <c r="S188" s="5"/>
    </row>
    <row r="189" spans="1:19" x14ac:dyDescent="0.75">
      <c r="A189" s="11">
        <f t="shared" si="45"/>
        <v>188</v>
      </c>
      <c r="B189" s="15">
        <f>Comparisons!E45</f>
        <v>0</v>
      </c>
      <c r="C189" s="48" t="e">
        <f t="shared" si="30"/>
        <v>#DIV/0!</v>
      </c>
      <c r="D189" s="48" t="e">
        <f t="shared" si="39"/>
        <v>#DIV/0!</v>
      </c>
      <c r="E189" s="49" t="e">
        <f t="shared" si="31"/>
        <v>#DIV/0!</v>
      </c>
      <c r="F189" s="49" t="e">
        <f t="shared" si="32"/>
        <v>#DIV/0!</v>
      </c>
      <c r="G189" s="49">
        <f t="shared" si="33"/>
        <v>17.772023946681813</v>
      </c>
      <c r="H189" s="5">
        <f t="shared" si="34"/>
        <v>0</v>
      </c>
      <c r="I189" s="5">
        <f t="shared" si="35"/>
        <v>0</v>
      </c>
      <c r="J189" s="5" t="e">
        <f>I189*(C170-C169)</f>
        <v>#DIV/0!</v>
      </c>
      <c r="K189" s="5" t="e">
        <f t="shared" si="46"/>
        <v>#DIV/0!</v>
      </c>
      <c r="L189" s="5">
        <f t="shared" si="37"/>
        <v>0</v>
      </c>
      <c r="M189" s="5">
        <f t="shared" si="38"/>
        <v>1.3160000000000001</v>
      </c>
      <c r="N189" s="5">
        <f t="shared" si="40"/>
        <v>61.275973346462017</v>
      </c>
      <c r="O189" s="5">
        <f t="shared" si="41"/>
        <v>25.912275973552475</v>
      </c>
      <c r="P189" s="5">
        <f t="shared" si="42"/>
        <v>4.6442609322827177</v>
      </c>
      <c r="Q189" s="5">
        <f t="shared" si="43"/>
        <v>1.7647058823529411</v>
      </c>
      <c r="R189" s="5">
        <f t="shared" si="44"/>
        <v>15.022023946681815</v>
      </c>
      <c r="S189" s="5"/>
    </row>
    <row r="201" spans="1:19" x14ac:dyDescent="0.75">
      <c r="A201" s="1" t="s">
        <v>49</v>
      </c>
      <c r="B201" s="3"/>
      <c r="C201" s="12"/>
      <c r="D201" s="3"/>
      <c r="E201" s="1" t="s">
        <v>168</v>
      </c>
      <c r="F201" s="4"/>
      <c r="G201" s="3"/>
      <c r="H201" s="5"/>
      <c r="I201" s="3"/>
      <c r="J201" s="3"/>
      <c r="K201" s="3"/>
      <c r="L201" s="3"/>
      <c r="M201" s="3"/>
      <c r="N201" s="3"/>
      <c r="O201" s="5"/>
      <c r="P201" s="3"/>
      <c r="Q201" s="5"/>
      <c r="R201" s="5"/>
      <c r="S201" s="5"/>
    </row>
    <row r="202" spans="1:19" x14ac:dyDescent="0.75">
      <c r="A202" t="s">
        <v>13</v>
      </c>
      <c r="B202" s="61">
        <f>Comparisons!F3</f>
        <v>48</v>
      </c>
      <c r="C202" s="12" t="s">
        <v>9</v>
      </c>
      <c r="D202" s="3"/>
      <c r="E202" s="1"/>
      <c r="F202" s="4"/>
      <c r="G202" s="3"/>
      <c r="H202" s="5"/>
      <c r="I202" s="3"/>
      <c r="J202" s="3"/>
      <c r="K202" s="3"/>
      <c r="L202" s="3"/>
      <c r="M202" s="3"/>
      <c r="N202" s="3"/>
      <c r="O202" s="5"/>
      <c r="P202" s="3"/>
      <c r="Q202" s="5"/>
      <c r="R202" s="5"/>
      <c r="S202" s="5"/>
    </row>
    <row r="203" spans="1:19" x14ac:dyDescent="0.75">
      <c r="A203" t="s">
        <v>14</v>
      </c>
      <c r="B203" s="63">
        <f>Comparisons!F4</f>
        <v>65</v>
      </c>
      <c r="C203" s="12" t="s">
        <v>10</v>
      </c>
      <c r="D203" s="3"/>
      <c r="E203" s="1"/>
      <c r="F203" s="4"/>
      <c r="G203" s="3"/>
      <c r="H203" s="5"/>
      <c r="I203" s="3"/>
      <c r="J203" s="3"/>
      <c r="K203" s="3"/>
      <c r="L203" s="3"/>
      <c r="M203" s="3"/>
      <c r="N203" s="3"/>
      <c r="O203" s="5"/>
      <c r="P203" s="3"/>
      <c r="Q203" s="5"/>
      <c r="R203" s="5"/>
      <c r="S203" s="5"/>
    </row>
    <row r="204" spans="1:19" x14ac:dyDescent="0.75">
      <c r="A204" t="s">
        <v>15</v>
      </c>
      <c r="B204" s="63">
        <f>Comparisons!F5</f>
        <v>0</v>
      </c>
      <c r="C204" s="12" t="s">
        <v>10</v>
      </c>
      <c r="D204" s="3"/>
      <c r="E204" s="1"/>
      <c r="F204" s="4"/>
      <c r="G204" s="3"/>
      <c r="H204" s="5"/>
      <c r="I204" s="3"/>
      <c r="J204" s="3"/>
      <c r="K204" s="3"/>
      <c r="L204" s="3"/>
      <c r="M204" s="3"/>
      <c r="N204" s="3"/>
      <c r="O204" s="5"/>
      <c r="P204" s="3"/>
      <c r="Q204" s="5"/>
      <c r="R204" s="5"/>
      <c r="S204" s="5"/>
    </row>
    <row r="205" spans="1:19" x14ac:dyDescent="0.75">
      <c r="A205" t="s">
        <v>16</v>
      </c>
      <c r="B205" s="63">
        <f>Comparisons!F6</f>
        <v>0.4</v>
      </c>
      <c r="C205" s="12" t="s">
        <v>53</v>
      </c>
      <c r="D205" s="3"/>
      <c r="E205" s="3"/>
      <c r="F205" s="4"/>
      <c r="G205" s="3"/>
      <c r="H205" s="5"/>
      <c r="I205" s="3"/>
      <c r="J205" s="3"/>
      <c r="K205" s="3"/>
      <c r="L205" s="3"/>
      <c r="M205" s="3"/>
      <c r="N205" s="3"/>
      <c r="O205" s="5"/>
      <c r="P205" s="3"/>
      <c r="Q205" s="5"/>
      <c r="R205" s="5"/>
      <c r="S205" s="5"/>
    </row>
    <row r="206" spans="1:19" x14ac:dyDescent="0.75">
      <c r="A206" t="s">
        <v>18</v>
      </c>
      <c r="B206" s="63">
        <f>Comparisons!F7</f>
        <v>0.15</v>
      </c>
      <c r="C206" s="12" t="s">
        <v>52</v>
      </c>
      <c r="D206" s="3"/>
      <c r="E206" s="3"/>
      <c r="F206" s="4"/>
      <c r="G206" s="3"/>
      <c r="H206" s="5"/>
      <c r="I206" s="3"/>
      <c r="J206" s="3"/>
      <c r="K206" s="3"/>
      <c r="L206" s="3"/>
      <c r="M206" s="3"/>
      <c r="N206" s="3"/>
      <c r="O206" s="5"/>
      <c r="P206" s="3"/>
      <c r="Q206" s="5"/>
      <c r="R206" s="5"/>
      <c r="S206" s="5"/>
    </row>
    <row r="207" spans="1:19" x14ac:dyDescent="0.75">
      <c r="A207" s="2" t="s">
        <v>19</v>
      </c>
      <c r="B207" s="23">
        <f>B204*B205*B206</f>
        <v>0</v>
      </c>
      <c r="C207" s="13" t="s">
        <v>23</v>
      </c>
      <c r="D207" s="3"/>
      <c r="E207" s="3"/>
      <c r="F207" s="4"/>
      <c r="G207" s="3"/>
      <c r="H207" s="5"/>
      <c r="I207" s="3"/>
      <c r="J207" s="3"/>
      <c r="K207" s="3"/>
      <c r="L207" s="3"/>
      <c r="M207" s="3"/>
      <c r="N207" s="3"/>
      <c r="O207" s="5"/>
      <c r="P207" s="3"/>
      <c r="Q207" s="5"/>
      <c r="R207" s="5"/>
      <c r="S207" s="5"/>
    </row>
    <row r="208" spans="1:19" x14ac:dyDescent="0.75">
      <c r="A208" t="s">
        <v>46</v>
      </c>
      <c r="B208" s="61">
        <f>Comparisons!F8</f>
        <v>0</v>
      </c>
      <c r="C208" s="12" t="s">
        <v>10</v>
      </c>
      <c r="D208" s="3"/>
      <c r="E208" s="3"/>
      <c r="F208" s="4"/>
      <c r="G208" s="3"/>
      <c r="H208" s="5"/>
      <c r="I208" s="3"/>
      <c r="J208" s="3"/>
      <c r="K208" s="3"/>
      <c r="L208" s="3"/>
      <c r="M208" s="3"/>
      <c r="N208" s="3"/>
      <c r="O208" s="5"/>
      <c r="P208" s="3"/>
      <c r="Q208" s="5"/>
      <c r="R208" s="5"/>
      <c r="S208" s="5"/>
    </row>
    <row r="209" spans="1:19" x14ac:dyDescent="0.75">
      <c r="A209" t="s">
        <v>47</v>
      </c>
      <c r="B209" s="63">
        <f>Comparisons!F9</f>
        <v>0.2</v>
      </c>
      <c r="C209" s="12" t="s">
        <v>53</v>
      </c>
      <c r="D209" s="3"/>
      <c r="E209" s="3"/>
      <c r="F209" s="4"/>
      <c r="G209" s="3"/>
      <c r="H209" s="5"/>
      <c r="I209" s="3"/>
      <c r="J209" s="3"/>
      <c r="K209" s="3"/>
      <c r="L209" s="3"/>
      <c r="M209" s="3"/>
      <c r="N209" s="3"/>
      <c r="O209" s="5"/>
      <c r="P209" s="3"/>
      <c r="Q209" s="5"/>
      <c r="R209" s="5"/>
      <c r="S209" s="5"/>
    </row>
    <row r="210" spans="1:19" x14ac:dyDescent="0.75">
      <c r="A210" t="s">
        <v>48</v>
      </c>
      <c r="B210" s="63">
        <f>Comparisons!F10</f>
        <v>7.0000000000000007E-2</v>
      </c>
      <c r="C210" s="12" t="s">
        <v>52</v>
      </c>
      <c r="D210" s="3"/>
      <c r="E210" s="3"/>
      <c r="F210" s="4"/>
      <c r="G210" s="3"/>
      <c r="H210" s="5"/>
      <c r="I210" s="3"/>
      <c r="J210" s="3"/>
      <c r="K210" s="3"/>
      <c r="L210" s="3"/>
      <c r="M210" s="3"/>
      <c r="N210" s="3"/>
      <c r="O210" s="5"/>
      <c r="P210" s="3"/>
      <c r="Q210" s="5"/>
      <c r="R210" s="5"/>
      <c r="S210" s="5"/>
    </row>
    <row r="211" spans="1:19" x14ac:dyDescent="0.75">
      <c r="A211" s="2" t="s">
        <v>44</v>
      </c>
      <c r="B211" s="23">
        <f>B208*B209*B210</f>
        <v>0</v>
      </c>
      <c r="C211" s="13" t="s">
        <v>23</v>
      </c>
      <c r="D211" s="3"/>
      <c r="E211" s="3"/>
      <c r="F211" s="4"/>
      <c r="G211" s="3"/>
      <c r="H211" s="5"/>
      <c r="I211" s="3"/>
      <c r="J211" s="3"/>
      <c r="K211" s="3"/>
      <c r="L211" s="3"/>
      <c r="M211" s="3"/>
      <c r="N211" s="3"/>
      <c r="O211" s="5"/>
      <c r="P211" s="3"/>
      <c r="Q211" s="5"/>
      <c r="R211" s="5"/>
      <c r="S211" s="5"/>
    </row>
    <row r="212" spans="1:19" x14ac:dyDescent="0.75">
      <c r="A212" s="2" t="s">
        <v>45</v>
      </c>
      <c r="B212" s="23">
        <f>B207+B211</f>
        <v>0</v>
      </c>
      <c r="C212" s="13" t="s">
        <v>23</v>
      </c>
      <c r="D212" s="3"/>
      <c r="E212" s="3"/>
      <c r="F212" s="4"/>
      <c r="G212" s="3"/>
      <c r="H212" s="5"/>
      <c r="I212" s="3"/>
      <c r="J212" s="3"/>
      <c r="K212" s="3"/>
      <c r="L212" s="3"/>
      <c r="M212" s="3"/>
      <c r="N212" s="3"/>
      <c r="O212" s="5"/>
      <c r="P212" s="3"/>
      <c r="Q212" s="5"/>
      <c r="R212" s="5"/>
      <c r="S212" s="5"/>
    </row>
    <row r="213" spans="1:19" x14ac:dyDescent="0.75">
      <c r="A213" s="2"/>
      <c r="B213" s="20"/>
      <c r="C213" s="13"/>
      <c r="D213" s="3"/>
      <c r="E213" s="3"/>
      <c r="F213" s="4"/>
      <c r="G213" s="3"/>
      <c r="H213" s="5"/>
      <c r="I213" s="3"/>
      <c r="J213" s="3"/>
      <c r="K213" s="3"/>
      <c r="L213" s="3"/>
      <c r="M213" s="3"/>
      <c r="N213" s="3"/>
      <c r="O213" s="5"/>
      <c r="P213" s="3"/>
      <c r="Q213" s="5"/>
      <c r="R213" s="5"/>
      <c r="S213" s="5"/>
    </row>
    <row r="214" spans="1:19" x14ac:dyDescent="0.75">
      <c r="A214" s="1" t="s">
        <v>102</v>
      </c>
      <c r="B214" s="3"/>
      <c r="C214" s="12"/>
      <c r="D214" s="3"/>
      <c r="E214" s="3"/>
      <c r="F214" s="4"/>
      <c r="G214" s="3"/>
      <c r="H214" s="5"/>
      <c r="I214" s="3"/>
      <c r="J214" s="3"/>
      <c r="K214" s="3"/>
      <c r="L214" s="3"/>
      <c r="M214" s="3"/>
      <c r="N214" s="3"/>
      <c r="O214" s="5"/>
      <c r="P214" s="3"/>
      <c r="Q214" s="5"/>
      <c r="R214" s="5"/>
      <c r="S214" s="5"/>
    </row>
    <row r="215" spans="1:19" x14ac:dyDescent="0.75">
      <c r="A215" t="s">
        <v>78</v>
      </c>
      <c r="B215" s="61">
        <v>100</v>
      </c>
      <c r="C215" s="12" t="s">
        <v>79</v>
      </c>
      <c r="D215" s="3"/>
      <c r="E215" t="s">
        <v>62</v>
      </c>
      <c r="F215" s="3">
        <v>2.4</v>
      </c>
      <c r="G215" s="12" t="s">
        <v>64</v>
      </c>
      <c r="H215" s="5"/>
      <c r="I215" s="3"/>
      <c r="J215" s="3"/>
      <c r="K215" s="3"/>
      <c r="L215" s="3"/>
      <c r="M215" s="3"/>
      <c r="N215" s="3"/>
      <c r="O215" s="5"/>
      <c r="P215" s="3"/>
      <c r="Q215" s="5"/>
      <c r="R215" s="5"/>
      <c r="S215" s="5"/>
    </row>
    <row r="216" spans="1:19" x14ac:dyDescent="0.75">
      <c r="A216" t="s">
        <v>27</v>
      </c>
      <c r="B216" s="61">
        <f>Comparisons!F11</f>
        <v>175</v>
      </c>
      <c r="C216" s="12" t="s">
        <v>54</v>
      </c>
      <c r="D216" s="3"/>
      <c r="E216" t="s">
        <v>61</v>
      </c>
      <c r="F216" s="3">
        <f>IF(B221&lt;1.5,2.8,3.2)</f>
        <v>3.2</v>
      </c>
      <c r="G216" s="12" t="s">
        <v>64</v>
      </c>
      <c r="H216" s="5"/>
      <c r="I216" s="3"/>
      <c r="J216" s="3"/>
      <c r="K216" s="3"/>
      <c r="L216" s="3"/>
      <c r="M216" s="3"/>
      <c r="N216" s="3"/>
      <c r="O216" s="5"/>
      <c r="P216" s="3"/>
      <c r="Q216" s="5"/>
      <c r="R216" s="5"/>
      <c r="S216" s="5"/>
    </row>
    <row r="217" spans="1:19" x14ac:dyDescent="0.75">
      <c r="A217" t="s">
        <v>28</v>
      </c>
      <c r="B217" s="63">
        <f>Comparisons!F12</f>
        <v>4.2000000000000003E-2</v>
      </c>
      <c r="C217" s="12" t="s">
        <v>52</v>
      </c>
      <c r="D217" s="3"/>
      <c r="E217" t="s">
        <v>63</v>
      </c>
      <c r="F217" s="3">
        <f>IF(B221&lt;1.5,3.5,3.9)</f>
        <v>3.9</v>
      </c>
      <c r="G217" s="12" t="s">
        <v>64</v>
      </c>
      <c r="H217" s="5"/>
      <c r="I217" s="3"/>
      <c r="J217" s="4"/>
      <c r="K217" s="3"/>
      <c r="L217" s="3"/>
      <c r="M217" s="3"/>
      <c r="N217" s="3"/>
      <c r="O217" s="5"/>
      <c r="P217" s="3"/>
      <c r="Q217" s="5"/>
      <c r="R217" s="5"/>
      <c r="S217" s="5"/>
    </row>
    <row r="218" spans="1:19" x14ac:dyDescent="0.75">
      <c r="A218" t="s">
        <v>29</v>
      </c>
      <c r="B218" s="63">
        <f>Comparisons!F13</f>
        <v>5.7000000000000002E-2</v>
      </c>
      <c r="C218" s="12" t="s">
        <v>52</v>
      </c>
      <c r="D218" s="3"/>
      <c r="E218" t="s">
        <v>62</v>
      </c>
      <c r="F218" s="25">
        <f>B216*F215/100*B217</f>
        <v>0.17640000000000003</v>
      </c>
      <c r="G218" s="12" t="s">
        <v>55</v>
      </c>
      <c r="H218" s="5"/>
      <c r="I218" s="3"/>
      <c r="J218" s="4"/>
      <c r="K218" s="3"/>
      <c r="L218" s="3"/>
      <c r="M218" s="3"/>
      <c r="N218" s="3"/>
      <c r="O218" s="5"/>
      <c r="P218" s="3"/>
      <c r="Q218" s="5"/>
      <c r="R218" s="5"/>
      <c r="S218" s="5"/>
    </row>
    <row r="219" spans="1:19" x14ac:dyDescent="0.75">
      <c r="A219" t="s">
        <v>30</v>
      </c>
      <c r="B219" s="63">
        <f>Comparisons!F14</f>
        <v>12</v>
      </c>
      <c r="C219" s="12" t="s">
        <v>82</v>
      </c>
      <c r="D219" s="3"/>
      <c r="E219" t="s">
        <v>61</v>
      </c>
      <c r="F219" s="25">
        <f>F216/100*B216*B218</f>
        <v>0.31920000000000004</v>
      </c>
      <c r="G219" s="12" t="s">
        <v>55</v>
      </c>
      <c r="H219" s="5"/>
      <c r="I219" s="3"/>
      <c r="J219" s="4"/>
      <c r="K219" s="3"/>
      <c r="L219" s="3"/>
      <c r="M219" s="3"/>
      <c r="N219" s="3"/>
      <c r="O219" s="5"/>
      <c r="P219" s="3"/>
      <c r="Q219" s="5"/>
      <c r="R219" s="5"/>
      <c r="S219" s="5"/>
    </row>
    <row r="220" spans="1:19" x14ac:dyDescent="0.75">
      <c r="A220" t="s">
        <v>31</v>
      </c>
      <c r="B220" s="63">
        <f>Comparisons!F15</f>
        <v>94</v>
      </c>
      <c r="C220" s="12" t="s">
        <v>25</v>
      </c>
      <c r="D220" s="3"/>
      <c r="E220" t="s">
        <v>63</v>
      </c>
      <c r="F220" s="25">
        <f>B216*F217/100*B218</f>
        <v>0.38902500000000001</v>
      </c>
      <c r="G220" s="12" t="s">
        <v>55</v>
      </c>
      <c r="H220" s="5"/>
      <c r="I220" s="3"/>
      <c r="J220" s="4"/>
      <c r="K220" s="3"/>
      <c r="L220" s="3"/>
      <c r="M220" s="3"/>
      <c r="N220" s="3"/>
      <c r="O220" s="5"/>
      <c r="P220" s="3"/>
      <c r="Q220" s="5"/>
      <c r="R220" s="5"/>
      <c r="S220" s="5"/>
    </row>
    <row r="221" spans="1:19" x14ac:dyDescent="0.75">
      <c r="A221" t="s">
        <v>32</v>
      </c>
      <c r="B221" s="63">
        <f>Comparisons!F16</f>
        <v>1.9</v>
      </c>
      <c r="C221" s="12" t="s">
        <v>33</v>
      </c>
      <c r="D221" s="3"/>
      <c r="E221" t="s">
        <v>26</v>
      </c>
      <c r="F221" s="3">
        <f>(B219*30-4*7-B203)*F218</f>
        <v>47.098800000000004</v>
      </c>
      <c r="G221" s="12" t="s">
        <v>80</v>
      </c>
      <c r="H221" s="5"/>
      <c r="I221" s="3"/>
      <c r="J221" s="4"/>
      <c r="K221" s="3"/>
      <c r="L221" s="3"/>
      <c r="M221" s="3"/>
      <c r="N221" s="3"/>
      <c r="O221" s="5"/>
      <c r="P221" s="3"/>
      <c r="Q221" s="5"/>
      <c r="R221" s="5"/>
      <c r="S221" s="5"/>
    </row>
    <row r="222" spans="1:19" x14ac:dyDescent="0.75">
      <c r="A222" t="s">
        <v>60</v>
      </c>
      <c r="B222" s="63">
        <f>Comparisons!F17</f>
        <v>11</v>
      </c>
      <c r="C222" s="12" t="s">
        <v>84</v>
      </c>
      <c r="D222" s="3"/>
      <c r="E222" t="s">
        <v>65</v>
      </c>
      <c r="F222" s="3">
        <f>4*7*F219</f>
        <v>8.9376000000000015</v>
      </c>
      <c r="G222" s="12" t="s">
        <v>80</v>
      </c>
      <c r="H222" s="5"/>
      <c r="I222" s="3"/>
      <c r="J222" s="4"/>
      <c r="K222" s="3"/>
      <c r="L222" s="3"/>
      <c r="M222" s="3"/>
      <c r="N222" s="3"/>
      <c r="O222" s="5"/>
      <c r="P222" s="3"/>
      <c r="Q222" s="5"/>
      <c r="R222" s="5"/>
      <c r="S222" s="5"/>
    </row>
    <row r="223" spans="1:19" x14ac:dyDescent="0.75">
      <c r="A223" t="s">
        <v>59</v>
      </c>
      <c r="B223" s="63">
        <f>Comparisons!F18</f>
        <v>3</v>
      </c>
      <c r="C223" s="12" t="s">
        <v>85</v>
      </c>
      <c r="D223" s="3"/>
      <c r="E223" t="s">
        <v>66</v>
      </c>
      <c r="F223" s="10">
        <f>B203*F220</f>
        <v>25.286625000000001</v>
      </c>
      <c r="G223" s="12" t="s">
        <v>80</v>
      </c>
      <c r="H223" s="5"/>
      <c r="I223" s="3"/>
      <c r="J223" s="4"/>
      <c r="K223" s="3"/>
      <c r="L223" s="3"/>
      <c r="M223" s="3"/>
      <c r="N223" s="3"/>
      <c r="O223" s="5"/>
      <c r="P223" s="3"/>
      <c r="Q223" s="5"/>
      <c r="R223" s="5"/>
      <c r="S223" s="5"/>
    </row>
    <row r="224" spans="1:19" x14ac:dyDescent="0.75">
      <c r="A224" s="21" t="s">
        <v>72</v>
      </c>
      <c r="B224" s="24">
        <f>B215*B220/100*B221*(1-B222/100)*(1-B223/100)</f>
        <v>154.18538000000001</v>
      </c>
      <c r="C224" s="13" t="s">
        <v>77</v>
      </c>
      <c r="D224" s="3"/>
      <c r="E224" t="s">
        <v>56</v>
      </c>
      <c r="F224" s="3">
        <f>F221+F222+F223</f>
        <v>81.323025000000001</v>
      </c>
      <c r="G224" s="12" t="s">
        <v>98</v>
      </c>
      <c r="H224" s="5"/>
      <c r="I224" s="3"/>
      <c r="J224" s="4"/>
      <c r="K224" s="3"/>
      <c r="L224" s="3"/>
      <c r="M224" s="3"/>
      <c r="N224" s="3"/>
      <c r="O224" s="5"/>
      <c r="P224" s="3"/>
      <c r="Q224" s="5"/>
      <c r="R224" s="5"/>
      <c r="S224" s="5"/>
    </row>
    <row r="225" spans="1:19" s="19" customFormat="1" x14ac:dyDescent="0.75">
      <c r="A225" s="22" t="s">
        <v>71</v>
      </c>
      <c r="B225" s="26">
        <f>B221*B220/100</f>
        <v>1.786</v>
      </c>
      <c r="C225" s="13" t="s">
        <v>96</v>
      </c>
      <c r="D225" s="16"/>
      <c r="E225" t="s">
        <v>57</v>
      </c>
      <c r="F225" s="5">
        <f>(F218*365)*(1-B220/100)+F224*B220/100</f>
        <v>80.306803500000001</v>
      </c>
      <c r="G225" s="12" t="s">
        <v>81</v>
      </c>
      <c r="H225" s="18"/>
      <c r="I225" s="16"/>
      <c r="J225" s="17"/>
      <c r="K225" s="16"/>
      <c r="L225" s="16"/>
      <c r="M225" s="16"/>
      <c r="N225" s="16"/>
      <c r="O225" s="18"/>
      <c r="P225" s="16"/>
      <c r="Q225" s="18"/>
      <c r="R225" s="18"/>
      <c r="S225" s="18"/>
    </row>
    <row r="226" spans="1:19" x14ac:dyDescent="0.75">
      <c r="A226" s="22" t="s">
        <v>70</v>
      </c>
      <c r="B226" s="26">
        <f>B220/100*B221*(1-B222/100)*(1-B223/100)</f>
        <v>1.5418537999999999</v>
      </c>
      <c r="C226" s="13" t="s">
        <v>97</v>
      </c>
      <c r="D226" s="3"/>
      <c r="E226" s="2" t="s">
        <v>58</v>
      </c>
      <c r="F226" s="26">
        <f>F225/B226</f>
        <v>52.084577344492715</v>
      </c>
      <c r="G226" s="13" t="s">
        <v>118</v>
      </c>
      <c r="H226" s="5"/>
      <c r="I226" s="3"/>
      <c r="J226" s="3"/>
      <c r="K226" s="3"/>
      <c r="L226" s="3"/>
      <c r="M226" s="3"/>
      <c r="N226" s="3"/>
      <c r="O226" s="5"/>
      <c r="P226" s="3"/>
      <c r="Q226" s="5"/>
      <c r="R226" s="5"/>
      <c r="S226" s="5"/>
    </row>
    <row r="227" spans="1:19" x14ac:dyDescent="0.75">
      <c r="B227" s="3"/>
      <c r="C227" s="3"/>
      <c r="D227" s="3"/>
      <c r="E227" s="3"/>
      <c r="F227" s="4"/>
      <c r="G227" s="3"/>
      <c r="H227" s="5"/>
      <c r="I227" s="3"/>
      <c r="J227" s="3"/>
      <c r="K227" s="3"/>
      <c r="L227" s="3"/>
      <c r="M227" s="3"/>
      <c r="N227" s="3"/>
      <c r="O227" s="5"/>
      <c r="P227" s="3"/>
      <c r="Q227" s="5"/>
      <c r="R227" s="5"/>
      <c r="S227" s="5"/>
    </row>
    <row r="228" spans="1:19" x14ac:dyDescent="0.75">
      <c r="A228" s="1" t="s">
        <v>83</v>
      </c>
      <c r="B228" s="3"/>
      <c r="C228" s="12"/>
      <c r="D228" s="3"/>
      <c r="E228" s="3"/>
      <c r="F228" s="4"/>
      <c r="G228" s="3"/>
      <c r="H228" s="4"/>
      <c r="I228" s="3"/>
      <c r="J228" s="5"/>
      <c r="K228" s="3"/>
      <c r="L228" s="3"/>
      <c r="M228" s="3"/>
      <c r="N228" s="3"/>
      <c r="O228" s="5"/>
      <c r="P228" s="3"/>
      <c r="Q228" s="5"/>
      <c r="R228" s="5"/>
      <c r="S228" s="5"/>
    </row>
    <row r="229" spans="1:19" x14ac:dyDescent="0.75">
      <c r="A229" t="s">
        <v>36</v>
      </c>
      <c r="B229" s="61">
        <f>Comparisons!F19</f>
        <v>10</v>
      </c>
      <c r="C229" s="12" t="s">
        <v>35</v>
      </c>
      <c r="D229" s="3"/>
      <c r="E229" s="3"/>
      <c r="F229" s="4"/>
      <c r="G229" s="3"/>
      <c r="H229" s="5"/>
      <c r="I229" s="3"/>
      <c r="J229" s="3"/>
      <c r="K229" s="3"/>
      <c r="L229" s="3"/>
      <c r="M229" s="3"/>
      <c r="N229" s="3"/>
      <c r="O229" s="5"/>
      <c r="P229" s="3"/>
      <c r="Q229" s="5"/>
      <c r="R229" s="5"/>
      <c r="S229" s="5"/>
    </row>
    <row r="230" spans="1:19" x14ac:dyDescent="0.75">
      <c r="A230" t="s">
        <v>34</v>
      </c>
      <c r="B230" s="63">
        <f>Comparisons!F20</f>
        <v>0.4</v>
      </c>
      <c r="C230" s="12" t="s">
        <v>99</v>
      </c>
      <c r="D230" s="3"/>
      <c r="E230" s="3"/>
      <c r="F230" s="4"/>
      <c r="G230" s="3"/>
      <c r="H230" s="5"/>
      <c r="I230" s="3"/>
      <c r="J230" s="3"/>
      <c r="K230" s="3"/>
      <c r="L230" s="3"/>
      <c r="M230" s="3"/>
      <c r="N230" s="3"/>
      <c r="O230" s="5"/>
      <c r="P230" s="3"/>
      <c r="Q230" s="5"/>
      <c r="R230" s="5"/>
      <c r="S230" s="5"/>
    </row>
    <row r="231" spans="1:19" x14ac:dyDescent="0.75">
      <c r="A231" t="s">
        <v>100</v>
      </c>
      <c r="B231" s="63">
        <f>Comparisons!F21</f>
        <v>2.25</v>
      </c>
      <c r="C231" s="12" t="s">
        <v>99</v>
      </c>
      <c r="D231" s="3"/>
      <c r="E231" s="3"/>
      <c r="F231" s="4"/>
      <c r="G231" s="3"/>
      <c r="H231" s="5"/>
      <c r="I231" s="3"/>
      <c r="J231" s="3"/>
      <c r="K231" s="3"/>
      <c r="L231" s="3"/>
      <c r="M231" s="3"/>
      <c r="N231" s="3"/>
      <c r="O231" s="5"/>
      <c r="P231" s="3"/>
      <c r="Q231" s="5"/>
      <c r="R231" s="5"/>
      <c r="S231" s="5"/>
    </row>
    <row r="232" spans="1:19" x14ac:dyDescent="0.75">
      <c r="A232" t="s">
        <v>67</v>
      </c>
      <c r="B232" s="63">
        <f>Comparisons!F22</f>
        <v>8</v>
      </c>
      <c r="C232" s="12" t="s">
        <v>80</v>
      </c>
      <c r="D232" s="3"/>
      <c r="E232" s="3"/>
      <c r="F232" s="4"/>
      <c r="G232" s="3"/>
      <c r="H232" s="5"/>
      <c r="I232" s="3"/>
      <c r="J232" s="3"/>
      <c r="K232" s="3"/>
      <c r="L232" s="3"/>
      <c r="M232" s="3"/>
      <c r="N232" s="3"/>
      <c r="O232" s="5"/>
      <c r="P232" s="3"/>
      <c r="Q232" s="5"/>
      <c r="R232" s="5"/>
      <c r="S232" s="5"/>
    </row>
    <row r="233" spans="1:19" x14ac:dyDescent="0.75">
      <c r="A233" t="s">
        <v>101</v>
      </c>
      <c r="B233" s="63">
        <f>Comparisons!F23</f>
        <v>3</v>
      </c>
      <c r="C233" s="12" t="s">
        <v>80</v>
      </c>
      <c r="D233" s="3"/>
      <c r="E233" s="3"/>
      <c r="F233" s="4"/>
      <c r="G233" s="3"/>
      <c r="H233" s="5"/>
      <c r="I233" s="3"/>
      <c r="J233" s="3"/>
      <c r="K233" s="3"/>
      <c r="L233" s="3"/>
      <c r="M233" s="3"/>
      <c r="N233" s="3"/>
      <c r="O233" s="5"/>
      <c r="P233" s="3"/>
      <c r="Q233" s="5"/>
      <c r="R233" s="5"/>
      <c r="S233" s="5"/>
    </row>
    <row r="234" spans="1:19" x14ac:dyDescent="0.75">
      <c r="A234" t="s">
        <v>37</v>
      </c>
      <c r="B234" s="5">
        <f>B231*B229+B230*B229*(B220/100)</f>
        <v>26.259999999999998</v>
      </c>
      <c r="C234" s="12" t="s">
        <v>81</v>
      </c>
      <c r="D234" s="3"/>
      <c r="E234" s="3"/>
      <c r="F234" s="4"/>
      <c r="G234" s="3"/>
      <c r="H234" s="5"/>
      <c r="I234" s="3"/>
      <c r="J234" s="3"/>
      <c r="K234" s="3"/>
      <c r="L234" s="3"/>
      <c r="M234" s="3"/>
      <c r="N234" s="3"/>
      <c r="O234" s="5"/>
      <c r="P234" s="3"/>
      <c r="Q234" s="5"/>
      <c r="R234" s="5"/>
      <c r="S234" s="5"/>
    </row>
    <row r="235" spans="1:19" x14ac:dyDescent="0.75">
      <c r="A235" t="s">
        <v>38</v>
      </c>
      <c r="B235" s="5">
        <f>B232*B220/100+B233*(1-B220/100)</f>
        <v>7.6999999999999993</v>
      </c>
      <c r="C235" s="12" t="s">
        <v>81</v>
      </c>
      <c r="D235" s="3"/>
      <c r="E235" s="3"/>
      <c r="F235" s="4"/>
      <c r="G235" s="3"/>
      <c r="H235" s="5"/>
      <c r="I235" s="3"/>
      <c r="J235" s="3"/>
      <c r="K235" s="3"/>
      <c r="L235" s="3"/>
      <c r="M235" s="3"/>
      <c r="N235" s="3"/>
      <c r="O235" s="5"/>
      <c r="P235" s="3"/>
      <c r="Q235" s="5"/>
      <c r="R235" s="5"/>
      <c r="S235" s="5"/>
    </row>
    <row r="236" spans="1:19" x14ac:dyDescent="0.75">
      <c r="A236" t="s">
        <v>68</v>
      </c>
      <c r="B236" s="5">
        <f>SUM(B234:B235)</f>
        <v>33.959999999999994</v>
      </c>
      <c r="C236" s="12" t="s">
        <v>81</v>
      </c>
      <c r="D236" s="3"/>
      <c r="E236" s="3"/>
      <c r="F236" s="4"/>
      <c r="G236" s="3"/>
      <c r="H236" s="5"/>
      <c r="I236" s="3"/>
      <c r="J236" s="3"/>
      <c r="K236" s="3"/>
      <c r="L236" s="3"/>
      <c r="M236" s="3"/>
      <c r="N236" s="3"/>
      <c r="O236" s="5"/>
      <c r="P236" s="3"/>
      <c r="Q236" s="5"/>
      <c r="R236" s="5"/>
      <c r="S236" s="5"/>
    </row>
    <row r="237" spans="1:19" s="2" customFormat="1" x14ac:dyDescent="0.75">
      <c r="A237" s="2" t="s">
        <v>39</v>
      </c>
      <c r="B237" s="26">
        <f>B236/B226</f>
        <v>22.025434577519604</v>
      </c>
      <c r="C237" s="13" t="s">
        <v>118</v>
      </c>
      <c r="D237" s="6"/>
      <c r="E237" s="6"/>
      <c r="F237" s="7"/>
      <c r="G237" s="6"/>
      <c r="H237" s="8"/>
      <c r="I237" s="6"/>
      <c r="J237" s="6"/>
      <c r="K237" s="6"/>
      <c r="L237" s="6"/>
      <c r="M237" s="6"/>
      <c r="N237" s="6"/>
      <c r="O237" s="8"/>
      <c r="P237" s="6"/>
      <c r="Q237" s="8"/>
      <c r="R237" s="8"/>
      <c r="S237" s="8"/>
    </row>
    <row r="238" spans="1:19" s="2" customFormat="1" x14ac:dyDescent="0.75">
      <c r="B238" s="29"/>
      <c r="C238" s="13"/>
      <c r="D238" s="6"/>
      <c r="E238" s="6"/>
      <c r="F238" s="7"/>
      <c r="G238" s="6"/>
      <c r="H238" s="8"/>
      <c r="I238" s="6"/>
      <c r="J238" s="6"/>
      <c r="K238" s="6"/>
      <c r="L238" s="6"/>
      <c r="M238" s="6"/>
      <c r="N238" s="6"/>
      <c r="O238" s="8"/>
      <c r="P238" s="6"/>
      <c r="Q238" s="8"/>
      <c r="R238" s="8"/>
      <c r="S238" s="8"/>
    </row>
    <row r="239" spans="1:19" s="2" customFormat="1" x14ac:dyDescent="0.75">
      <c r="A239" s="1" t="s">
        <v>103</v>
      </c>
      <c r="B239" s="29"/>
      <c r="C239" s="13"/>
      <c r="D239" s="6"/>
      <c r="E239" s="6"/>
      <c r="F239" s="7"/>
      <c r="G239" s="6"/>
      <c r="H239" s="8"/>
      <c r="I239" s="6"/>
      <c r="J239" s="6"/>
      <c r="K239" s="6"/>
      <c r="L239" s="6"/>
      <c r="M239" s="6"/>
      <c r="N239" s="6"/>
      <c r="O239" s="8"/>
      <c r="P239" s="6"/>
      <c r="Q239" s="8"/>
      <c r="R239" s="8"/>
      <c r="S239" s="8"/>
    </row>
    <row r="240" spans="1:19" s="2" customFormat="1" x14ac:dyDescent="0.75">
      <c r="A240" s="30" t="s">
        <v>104</v>
      </c>
      <c r="B240" s="33">
        <f>Comparisons!F24</f>
        <v>15</v>
      </c>
      <c r="C240" s="32" t="s">
        <v>105</v>
      </c>
      <c r="D240" s="6"/>
      <c r="E240" s="6"/>
      <c r="F240" s="7"/>
      <c r="G240" s="6"/>
      <c r="H240" s="8"/>
      <c r="I240" s="6"/>
      <c r="J240" s="6"/>
      <c r="K240" s="6"/>
      <c r="L240" s="6"/>
      <c r="M240" s="6"/>
      <c r="N240" s="6"/>
      <c r="O240" s="8"/>
      <c r="P240" s="6"/>
      <c r="Q240" s="8"/>
      <c r="R240" s="8"/>
      <c r="S240" s="8"/>
    </row>
    <row r="241" spans="1:19" s="2" customFormat="1" x14ac:dyDescent="0.75">
      <c r="A241" s="30" t="s">
        <v>106</v>
      </c>
      <c r="B241" s="33">
        <f>Comparisons!F25</f>
        <v>6.5000000000000002E-2</v>
      </c>
      <c r="C241" s="32" t="s">
        <v>52</v>
      </c>
      <c r="D241" s="6"/>
      <c r="E241" s="6"/>
      <c r="F241" s="7"/>
      <c r="G241" s="6"/>
      <c r="H241" s="8"/>
      <c r="I241" s="6"/>
      <c r="J241" s="6"/>
      <c r="K241" s="6"/>
      <c r="L241" s="6"/>
      <c r="M241" s="6"/>
      <c r="N241" s="6"/>
      <c r="O241" s="8"/>
      <c r="P241" s="6"/>
      <c r="Q241" s="8"/>
      <c r="R241" s="8"/>
      <c r="S241" s="8"/>
    </row>
    <row r="242" spans="1:19" s="2" customFormat="1" x14ac:dyDescent="0.75">
      <c r="A242" s="30" t="s">
        <v>110</v>
      </c>
      <c r="B242" s="33">
        <f>Comparisons!F26</f>
        <v>115</v>
      </c>
      <c r="C242" s="30" t="s">
        <v>54</v>
      </c>
      <c r="D242" s="6"/>
      <c r="E242" s="6"/>
      <c r="F242" s="7"/>
      <c r="G242" s="6"/>
      <c r="H242" s="8"/>
      <c r="I242" s="6"/>
      <c r="J242" s="6"/>
      <c r="K242" s="6"/>
      <c r="L242" s="6"/>
      <c r="M242" s="6"/>
      <c r="N242" s="6"/>
      <c r="O242" s="8"/>
      <c r="P242" s="6"/>
      <c r="Q242" s="8"/>
      <c r="R242" s="8"/>
      <c r="S242" s="8"/>
    </row>
    <row r="243" spans="1:19" s="2" customFormat="1" x14ac:dyDescent="0.75">
      <c r="A243" s="30" t="s">
        <v>107</v>
      </c>
      <c r="B243" s="33">
        <f>Comparisons!F27</f>
        <v>230</v>
      </c>
      <c r="C243" s="32" t="s">
        <v>10</v>
      </c>
      <c r="D243" s="6"/>
      <c r="E243" s="6"/>
      <c r="F243" s="7"/>
      <c r="G243" s="6"/>
      <c r="H243" s="8"/>
      <c r="I243" s="6"/>
      <c r="J243" s="6"/>
      <c r="K243" s="6"/>
      <c r="L243" s="6"/>
      <c r="M243" s="6"/>
      <c r="N243" s="6"/>
      <c r="O243" s="8"/>
      <c r="P243" s="6"/>
      <c r="Q243" s="8"/>
      <c r="R243" s="8"/>
      <c r="S243" s="8"/>
    </row>
    <row r="244" spans="1:19" s="2" customFormat="1" x14ac:dyDescent="0.75">
      <c r="A244" s="30" t="s">
        <v>108</v>
      </c>
      <c r="B244" s="31">
        <f>0.032*(B242-B202)/(LN(B242/B202)/(B243-B203))*B241</f>
        <v>26.317478616268733</v>
      </c>
      <c r="C244" s="32" t="s">
        <v>109</v>
      </c>
      <c r="D244" s="6"/>
      <c r="E244" s="6"/>
      <c r="F244" s="7"/>
      <c r="G244" s="6"/>
      <c r="H244" s="8"/>
      <c r="I244" s="6"/>
      <c r="J244" s="6"/>
      <c r="K244" s="6"/>
      <c r="L244" s="6"/>
      <c r="M244" s="6"/>
      <c r="N244" s="6"/>
      <c r="O244" s="8"/>
      <c r="P244" s="6"/>
      <c r="Q244" s="8"/>
      <c r="R244" s="8"/>
      <c r="S244" s="8"/>
    </row>
    <row r="245" spans="1:19" s="2" customFormat="1" x14ac:dyDescent="0.75">
      <c r="A245" s="41" t="s">
        <v>108</v>
      </c>
      <c r="B245" s="26">
        <f>B244*(B240/100)</f>
        <v>3.9476217924403096</v>
      </c>
      <c r="C245" s="13" t="s">
        <v>119</v>
      </c>
      <c r="D245" s="6"/>
      <c r="E245" s="6"/>
      <c r="F245" s="7"/>
      <c r="G245" s="6"/>
      <c r="H245" s="8"/>
      <c r="I245" s="6"/>
      <c r="J245" s="6"/>
      <c r="K245" s="6"/>
      <c r="L245" s="6"/>
      <c r="M245" s="6"/>
      <c r="N245" s="6"/>
      <c r="O245" s="8"/>
      <c r="P245" s="6"/>
      <c r="Q245" s="8"/>
      <c r="R245" s="8"/>
      <c r="S245" s="8"/>
    </row>
    <row r="246" spans="1:19" s="36" customFormat="1" x14ac:dyDescent="0.75">
      <c r="A246" s="41"/>
      <c r="B246" s="29"/>
      <c r="C246" s="37"/>
      <c r="D246" s="42"/>
      <c r="E246" s="42"/>
      <c r="F246" s="43"/>
      <c r="G246" s="42"/>
      <c r="H246" s="29"/>
      <c r="I246" s="42"/>
      <c r="J246" s="42"/>
      <c r="K246" s="42"/>
      <c r="L246" s="42"/>
      <c r="M246" s="42"/>
      <c r="N246" s="42"/>
      <c r="O246" s="29"/>
      <c r="P246" s="42"/>
      <c r="Q246" s="29"/>
      <c r="R246" s="29"/>
      <c r="S246" s="29"/>
    </row>
    <row r="247" spans="1:19" s="2" customFormat="1" x14ac:dyDescent="0.75">
      <c r="A247" s="40" t="s">
        <v>114</v>
      </c>
      <c r="B247" s="44">
        <f>Comparisons!F28</f>
        <v>10</v>
      </c>
      <c r="C247" s="32" t="s">
        <v>109</v>
      </c>
      <c r="D247" s="6"/>
      <c r="E247" s="6"/>
      <c r="F247" s="7"/>
      <c r="G247" s="6"/>
      <c r="H247" s="8"/>
      <c r="I247" s="6"/>
      <c r="J247" s="6"/>
      <c r="K247" s="6"/>
      <c r="L247" s="6"/>
      <c r="M247" s="6"/>
      <c r="N247" s="6"/>
      <c r="O247" s="8"/>
      <c r="P247" s="6"/>
      <c r="Q247" s="8"/>
      <c r="R247" s="8"/>
      <c r="S247" s="8"/>
    </row>
    <row r="248" spans="1:19" s="2" customFormat="1" x14ac:dyDescent="0.75">
      <c r="A248" s="41" t="s">
        <v>114</v>
      </c>
      <c r="B248" s="26">
        <f>B247*(B240/100)</f>
        <v>1.5</v>
      </c>
      <c r="C248" s="13" t="s">
        <v>119</v>
      </c>
      <c r="D248" s="6"/>
      <c r="E248" s="6"/>
      <c r="F248" s="7"/>
      <c r="G248" s="6"/>
      <c r="H248" s="8"/>
      <c r="I248" s="6"/>
      <c r="J248" s="6"/>
      <c r="K248" s="6"/>
      <c r="L248" s="6"/>
      <c r="M248" s="6"/>
      <c r="N248" s="6"/>
      <c r="O248" s="8"/>
      <c r="P248" s="6"/>
      <c r="Q248" s="8"/>
      <c r="R248" s="8"/>
      <c r="S248" s="8"/>
    </row>
    <row r="249" spans="1:19" s="2" customFormat="1" x14ac:dyDescent="0.75">
      <c r="A249" s="41"/>
      <c r="B249" s="29"/>
      <c r="C249" s="13"/>
      <c r="D249" s="6"/>
      <c r="E249" s="6"/>
      <c r="F249" s="7"/>
      <c r="G249" s="6"/>
      <c r="H249" s="8"/>
      <c r="I249" s="6"/>
      <c r="J249" s="6"/>
      <c r="K249" s="6"/>
      <c r="L249" s="6"/>
      <c r="M249" s="6"/>
      <c r="N249" s="6"/>
      <c r="O249" s="8"/>
      <c r="P249" s="6"/>
      <c r="Q249" s="8"/>
      <c r="R249" s="8"/>
      <c r="S249" s="8"/>
    </row>
    <row r="250" spans="1:19" s="2" customFormat="1" x14ac:dyDescent="0.75">
      <c r="A250" s="38" t="s">
        <v>111</v>
      </c>
      <c r="B250" s="34">
        <f>Comparisons!F29</f>
        <v>0.75</v>
      </c>
      <c r="C250" s="39" t="s">
        <v>112</v>
      </c>
      <c r="D250" s="6"/>
      <c r="E250" s="6"/>
      <c r="F250" s="7"/>
      <c r="G250" s="6"/>
      <c r="H250" s="8"/>
      <c r="I250" s="6"/>
      <c r="J250" s="6"/>
      <c r="K250" s="6"/>
      <c r="L250" s="6"/>
      <c r="M250" s="6"/>
      <c r="N250" s="6"/>
      <c r="O250" s="8"/>
      <c r="P250" s="6"/>
      <c r="Q250" s="8"/>
      <c r="R250" s="8"/>
      <c r="S250" s="8"/>
    </row>
    <row r="251" spans="1:19" s="2" customFormat="1" x14ac:dyDescent="0.75">
      <c r="A251" s="41" t="s">
        <v>113</v>
      </c>
      <c r="B251" s="45">
        <f>B250*B216*B240/100/B226</f>
        <v>12.768720354679543</v>
      </c>
      <c r="C251" s="13" t="s">
        <v>119</v>
      </c>
      <c r="D251" s="6"/>
      <c r="E251" s="6"/>
      <c r="F251" s="7"/>
      <c r="G251" s="6"/>
      <c r="H251" s="8"/>
      <c r="I251" s="6"/>
      <c r="J251" s="6"/>
      <c r="K251" s="6"/>
      <c r="L251" s="6"/>
      <c r="M251" s="6"/>
      <c r="N251" s="6"/>
      <c r="O251" s="8"/>
      <c r="P251" s="6"/>
      <c r="Q251" s="8"/>
      <c r="R251" s="8"/>
      <c r="S251" s="8"/>
    </row>
    <row r="253" spans="1:19" x14ac:dyDescent="0.75">
      <c r="A253" s="1" t="s">
        <v>88</v>
      </c>
      <c r="B253" s="3"/>
      <c r="C253" s="3"/>
      <c r="D253" s="90" t="s">
        <v>127</v>
      </c>
      <c r="E253" s="90"/>
      <c r="F253" s="90"/>
      <c r="G253" s="86" t="s">
        <v>123</v>
      </c>
      <c r="H253" s="86"/>
      <c r="I253" s="86"/>
      <c r="J253" s="86"/>
      <c r="K253" s="87" t="s">
        <v>124</v>
      </c>
      <c r="L253" s="88"/>
      <c r="M253" s="88"/>
      <c r="N253" s="88"/>
      <c r="O253" s="89"/>
      <c r="P253" s="91" t="s">
        <v>130</v>
      </c>
      <c r="Q253" s="92"/>
      <c r="R253" s="92"/>
      <c r="S253" s="93"/>
    </row>
    <row r="254" spans="1:19" x14ac:dyDescent="0.75">
      <c r="A254" s="3" t="s">
        <v>0</v>
      </c>
      <c r="B254" s="3" t="s">
        <v>40</v>
      </c>
      <c r="C254" s="3" t="s">
        <v>6</v>
      </c>
      <c r="D254" s="3" t="s">
        <v>3</v>
      </c>
      <c r="E254" s="3" t="s">
        <v>2</v>
      </c>
      <c r="F254" s="3" t="s">
        <v>5</v>
      </c>
      <c r="G254" s="3" t="s">
        <v>8</v>
      </c>
      <c r="H254" s="3" t="s">
        <v>69</v>
      </c>
      <c r="I254" s="3" t="s">
        <v>126</v>
      </c>
      <c r="J254" s="3" t="s">
        <v>125</v>
      </c>
      <c r="K254" s="3" t="s">
        <v>50</v>
      </c>
      <c r="L254" s="3" t="s">
        <v>22</v>
      </c>
      <c r="M254" s="3" t="s">
        <v>7</v>
      </c>
      <c r="N254" s="3" t="s">
        <v>51</v>
      </c>
      <c r="O254" s="3" t="s">
        <v>21</v>
      </c>
      <c r="P254" s="3" t="s">
        <v>8</v>
      </c>
      <c r="Q254" s="3" t="s">
        <v>69</v>
      </c>
      <c r="R254" s="3" t="s">
        <v>126</v>
      </c>
      <c r="S254" s="3" t="s">
        <v>125</v>
      </c>
    </row>
    <row r="255" spans="1:19" x14ac:dyDescent="0.75">
      <c r="A255" s="3" t="s">
        <v>24</v>
      </c>
      <c r="B255" s="3" t="s">
        <v>25</v>
      </c>
      <c r="C255" s="3" t="s">
        <v>10</v>
      </c>
      <c r="D255" s="3" t="s">
        <v>12</v>
      </c>
      <c r="E255" s="3" t="s">
        <v>17</v>
      </c>
      <c r="F255" s="3" t="s">
        <v>52</v>
      </c>
      <c r="G255" s="3" t="s">
        <v>23</v>
      </c>
      <c r="H255" s="3" t="s">
        <v>86</v>
      </c>
      <c r="I255" s="3" t="s">
        <v>23</v>
      </c>
      <c r="J255" s="3" t="s">
        <v>87</v>
      </c>
      <c r="K255" s="3" t="s">
        <v>76</v>
      </c>
      <c r="L255" s="3" t="s">
        <v>76</v>
      </c>
      <c r="M255" s="3" t="s">
        <v>23</v>
      </c>
      <c r="N255" s="3" t="s">
        <v>23</v>
      </c>
      <c r="O255" s="3" t="s">
        <v>25</v>
      </c>
      <c r="P255" s="3" t="s">
        <v>23</v>
      </c>
      <c r="Q255" s="3" t="s">
        <v>86</v>
      </c>
      <c r="R255" s="3" t="s">
        <v>23</v>
      </c>
      <c r="S255" s="3" t="s">
        <v>23</v>
      </c>
    </row>
    <row r="256" spans="1:19" x14ac:dyDescent="0.75">
      <c r="A256" s="5">
        <f>B202</f>
        <v>48</v>
      </c>
      <c r="B256" s="5">
        <f>A256/$B$216*100</f>
        <v>27.428571428571431</v>
      </c>
      <c r="C256" s="5">
        <f>B203</f>
        <v>65</v>
      </c>
      <c r="D256" s="67">
        <f>Finishing!D4</f>
        <v>0.7995812722283262</v>
      </c>
      <c r="E256" s="67">
        <f>Finishing!E4</f>
        <v>2.9890645053996687</v>
      </c>
      <c r="F256" s="67">
        <f>Finishing!F4</f>
        <v>0.115</v>
      </c>
      <c r="G256" s="68">
        <f>Finishing!G4</f>
        <v>0.85</v>
      </c>
      <c r="H256" s="68">
        <f>Finishing!H4</f>
        <v>0.3</v>
      </c>
      <c r="I256" s="68">
        <f>Finishing!I4</f>
        <v>1</v>
      </c>
      <c r="J256" s="68">
        <f>Finishing!J4</f>
        <v>2E-3</v>
      </c>
      <c r="K256" s="67">
        <f>Finishing!K4</f>
        <v>2</v>
      </c>
      <c r="L256" s="67">
        <f>Finishing!L4</f>
        <v>4</v>
      </c>
      <c r="M256" s="67">
        <f>Finishing!M4</f>
        <v>0</v>
      </c>
      <c r="N256" s="67">
        <f>Finishing!N4</f>
        <v>2</v>
      </c>
      <c r="O256" s="67">
        <f>Finishing!O4</f>
        <v>5</v>
      </c>
      <c r="P256" s="5">
        <f>G256</f>
        <v>0.85</v>
      </c>
      <c r="Q256" s="5">
        <f>H256</f>
        <v>0.3</v>
      </c>
      <c r="R256" s="5">
        <f>I256</f>
        <v>1</v>
      </c>
      <c r="S256" s="5">
        <f>J256*(C257-C256)*$B$229</f>
        <v>0.25013092095394712</v>
      </c>
    </row>
    <row r="257" spans="1:19" x14ac:dyDescent="0.75">
      <c r="A257" s="5">
        <f>A256+10</f>
        <v>58</v>
      </c>
      <c r="B257" s="5">
        <f t="shared" ref="B257:B270" si="47">A257/$B$216*100</f>
        <v>33.142857142857139</v>
      </c>
      <c r="C257" s="5">
        <f>C256+(A257-A256)/D256</f>
        <v>77.506546047697356</v>
      </c>
      <c r="D257" s="67">
        <f>Finishing!D5</f>
        <v>0.80548945537627681</v>
      </c>
      <c r="E257" s="67">
        <f>Finishing!E5</f>
        <v>3.4115902842158219</v>
      </c>
      <c r="F257" s="67">
        <f>Finishing!F5</f>
        <v>0.115</v>
      </c>
      <c r="G257" s="68">
        <f>Finishing!G5</f>
        <v>0</v>
      </c>
      <c r="H257" s="68">
        <f>Finishing!H5</f>
        <v>0.3</v>
      </c>
      <c r="I257" s="68">
        <f>Finishing!I5</f>
        <v>0.4</v>
      </c>
      <c r="J257" s="68">
        <f>Finishing!J5</f>
        <v>2E-3</v>
      </c>
      <c r="K257" s="67">
        <f>Finishing!K5</f>
        <v>2.1</v>
      </c>
      <c r="L257" s="67">
        <f>Finishing!L5</f>
        <v>4</v>
      </c>
      <c r="M257" s="67">
        <f>Finishing!M5</f>
        <v>0</v>
      </c>
      <c r="N257" s="67">
        <f>Finishing!N5</f>
        <v>2</v>
      </c>
      <c r="O257" s="67">
        <f>Finishing!O5</f>
        <v>5</v>
      </c>
      <c r="P257" s="5">
        <f>P256+G257</f>
        <v>0.85</v>
      </c>
      <c r="Q257" s="5">
        <f>H257+Q256</f>
        <v>0.6</v>
      </c>
      <c r="R257" s="5">
        <f>I257+R256</f>
        <v>1.4</v>
      </c>
      <c r="S257" s="5">
        <f>J257*(C258-C257)*$B$229+S256</f>
        <v>0.49842715706863572</v>
      </c>
    </row>
    <row r="258" spans="1:19" x14ac:dyDescent="0.75">
      <c r="A258" s="5">
        <f t="shared" ref="A258:A270" si="48">A257+10</f>
        <v>68</v>
      </c>
      <c r="B258" s="5">
        <f t="shared" si="47"/>
        <v>38.857142857142854</v>
      </c>
      <c r="C258" s="5">
        <f t="shared" ref="C258:C270" si="49">C257+(A258-A257)/D257</f>
        <v>89.921357853431786</v>
      </c>
      <c r="D258" s="67">
        <f>Finishing!D6</f>
        <v>0.77446414795503105</v>
      </c>
      <c r="E258" s="67">
        <f>Finishing!E6</f>
        <v>3.95886627947305</v>
      </c>
      <c r="F258" s="67">
        <f>Finishing!F6</f>
        <v>0.115</v>
      </c>
      <c r="G258" s="68">
        <f>Finishing!G6</f>
        <v>0</v>
      </c>
      <c r="H258" s="68">
        <f>Finishing!H6</f>
        <v>0.2</v>
      </c>
      <c r="I258" s="68">
        <f>Finishing!I6</f>
        <v>0.4</v>
      </c>
      <c r="J258" s="68">
        <f>Finishing!J6</f>
        <v>2E-3</v>
      </c>
      <c r="K258" s="67">
        <f>Finishing!K6</f>
        <v>2.2000000000000002</v>
      </c>
      <c r="L258" s="67">
        <f>Finishing!L6</f>
        <v>4.5</v>
      </c>
      <c r="M258" s="67">
        <f>Finishing!M6</f>
        <v>0</v>
      </c>
      <c r="N258" s="67">
        <f>Finishing!N6</f>
        <v>2</v>
      </c>
      <c r="O258" s="67">
        <f>Finishing!O6</f>
        <v>5</v>
      </c>
      <c r="P258" s="5">
        <f t="shared" ref="P258:P270" si="50">P257+G258</f>
        <v>0.85</v>
      </c>
      <c r="Q258" s="5">
        <f t="shared" ref="Q258:Q270" si="51">H258+Q257</f>
        <v>0.8</v>
      </c>
      <c r="R258" s="5">
        <f t="shared" ref="R258:R270" si="52">I258+R257</f>
        <v>1.7999999999999998</v>
      </c>
      <c r="S258" s="5">
        <f t="shared" ref="S258:S269" si="53">J258*(C259-C258)*$B$229+S257</f>
        <v>0.75667022813667562</v>
      </c>
    </row>
    <row r="259" spans="1:19" x14ac:dyDescent="0.75">
      <c r="A259" s="5">
        <f t="shared" si="48"/>
        <v>78</v>
      </c>
      <c r="B259" s="5">
        <f t="shared" si="47"/>
        <v>44.571428571428569</v>
      </c>
      <c r="C259" s="5">
        <f t="shared" si="49"/>
        <v>102.83351140683378</v>
      </c>
      <c r="D259" s="67">
        <f>Finishing!D7</f>
        <v>0.72062550635879374</v>
      </c>
      <c r="E259" s="67">
        <f>Finishing!E7</f>
        <v>4.6404130446293825</v>
      </c>
      <c r="F259" s="67">
        <f>Finishing!F7</f>
        <v>0.115</v>
      </c>
      <c r="G259" s="68">
        <f>Finishing!G7</f>
        <v>0</v>
      </c>
      <c r="H259" s="68">
        <f>Finishing!H7</f>
        <v>0.2</v>
      </c>
      <c r="I259" s="68">
        <f>Finishing!I7</f>
        <v>0.4</v>
      </c>
      <c r="J259" s="68">
        <f>Finishing!J7</f>
        <v>2E-3</v>
      </c>
      <c r="K259" s="67">
        <f>Finishing!K7</f>
        <v>2.2999999999999998</v>
      </c>
      <c r="L259" s="67">
        <f>Finishing!L7</f>
        <v>4.5</v>
      </c>
      <c r="M259" s="67">
        <f>Finishing!M7</f>
        <v>0</v>
      </c>
      <c r="N259" s="67">
        <f>Finishing!N7</f>
        <v>2</v>
      </c>
      <c r="O259" s="67">
        <f>Finishing!O7</f>
        <v>5</v>
      </c>
      <c r="P259" s="5">
        <f t="shared" si="50"/>
        <v>0.85</v>
      </c>
      <c r="Q259" s="5">
        <f t="shared" si="51"/>
        <v>1</v>
      </c>
      <c r="R259" s="5">
        <f t="shared" si="52"/>
        <v>2.1999999999999997</v>
      </c>
      <c r="S259" s="5">
        <f t="shared" si="53"/>
        <v>1.0342068934853228</v>
      </c>
    </row>
    <row r="260" spans="1:19" x14ac:dyDescent="0.75">
      <c r="A260" s="5">
        <f t="shared" si="48"/>
        <v>88</v>
      </c>
      <c r="B260" s="5">
        <f t="shared" si="47"/>
        <v>50.285714285714292</v>
      </c>
      <c r="C260" s="5">
        <f t="shared" si="49"/>
        <v>116.71034467426614</v>
      </c>
      <c r="D260" s="67">
        <f>Finishing!D8</f>
        <v>0.65537759149894059</v>
      </c>
      <c r="E260" s="67">
        <f>Finishing!E8</f>
        <v>5.4655515331359776</v>
      </c>
      <c r="F260" s="67">
        <f>Finishing!F8</f>
        <v>0.115</v>
      </c>
      <c r="G260" s="68">
        <f>Finishing!G8</f>
        <v>0</v>
      </c>
      <c r="H260" s="68">
        <f>Finishing!H8</f>
        <v>0.15</v>
      </c>
      <c r="I260" s="68">
        <f>Finishing!I8</f>
        <v>0.4</v>
      </c>
      <c r="J260" s="68">
        <f>Finishing!J8</f>
        <v>2E-3</v>
      </c>
      <c r="K260" s="67">
        <f>Finishing!K8</f>
        <v>2.4</v>
      </c>
      <c r="L260" s="67">
        <f>Finishing!L8</f>
        <v>5</v>
      </c>
      <c r="M260" s="67">
        <f>Finishing!M8</f>
        <v>0</v>
      </c>
      <c r="N260" s="67">
        <f>Finishing!N8</f>
        <v>2</v>
      </c>
      <c r="O260" s="67">
        <f>Finishing!O8</f>
        <v>4</v>
      </c>
      <c r="P260" s="5">
        <f t="shared" si="50"/>
        <v>0.85</v>
      </c>
      <c r="Q260" s="5">
        <f t="shared" si="51"/>
        <v>1.1499999999999999</v>
      </c>
      <c r="R260" s="5">
        <f t="shared" si="52"/>
        <v>2.5999999999999996</v>
      </c>
      <c r="S260" s="5">
        <f t="shared" si="53"/>
        <v>1.33937448327516</v>
      </c>
    </row>
    <row r="261" spans="1:19" x14ac:dyDescent="0.75">
      <c r="A261" s="5">
        <f t="shared" si="48"/>
        <v>98</v>
      </c>
      <c r="B261" s="5">
        <f t="shared" si="47"/>
        <v>56.000000000000007</v>
      </c>
      <c r="C261" s="5">
        <f t="shared" si="49"/>
        <v>131.968724163758</v>
      </c>
      <c r="D261" s="67">
        <f>Finishing!D9</f>
        <v>0.58663869534177293</v>
      </c>
      <c r="E261" s="67">
        <f>Finishing!E9</f>
        <v>6.4434890333952319</v>
      </c>
      <c r="F261" s="67">
        <f>Finishing!F9</f>
        <v>0.11</v>
      </c>
      <c r="G261" s="68">
        <f>Finishing!G9</f>
        <v>0</v>
      </c>
      <c r="H261" s="68">
        <f>Finishing!H9</f>
        <v>0.15</v>
      </c>
      <c r="I261" s="68">
        <f>Finishing!I9</f>
        <v>0.4</v>
      </c>
      <c r="J261" s="68">
        <f>Finishing!J9</f>
        <v>2E-3</v>
      </c>
      <c r="K261" s="67">
        <f>Finishing!K9</f>
        <v>2.5</v>
      </c>
      <c r="L261" s="67">
        <f>Finishing!L9</f>
        <v>5</v>
      </c>
      <c r="M261" s="67">
        <f>Finishing!M9</f>
        <v>0</v>
      </c>
      <c r="N261" s="67">
        <f>Finishing!N9</f>
        <v>2</v>
      </c>
      <c r="O261" s="67">
        <f>Finishing!O9</f>
        <v>4</v>
      </c>
      <c r="P261" s="5">
        <f t="shared" si="50"/>
        <v>0.85</v>
      </c>
      <c r="Q261" s="5">
        <f t="shared" si="51"/>
        <v>1.2999999999999998</v>
      </c>
      <c r="R261" s="5">
        <f t="shared" si="52"/>
        <v>2.9999999999999996</v>
      </c>
      <c r="S261" s="5">
        <f t="shared" si="53"/>
        <v>1.6802998289574476</v>
      </c>
    </row>
    <row r="262" spans="1:19" x14ac:dyDescent="0.75">
      <c r="A262" s="5">
        <f t="shared" si="48"/>
        <v>108</v>
      </c>
      <c r="B262" s="5">
        <f t="shared" si="47"/>
        <v>61.714285714285708</v>
      </c>
      <c r="C262" s="5">
        <f t="shared" si="49"/>
        <v>149.01499144787238</v>
      </c>
      <c r="D262" s="67">
        <f>Finishing!D10</f>
        <v>0.51923926932535602</v>
      </c>
      <c r="E262" s="67">
        <f>Finishing!E10</f>
        <v>7.5841721392078352</v>
      </c>
      <c r="F262" s="67">
        <f>Finishing!F10</f>
        <v>0.11</v>
      </c>
      <c r="G262" s="68">
        <f>Finishing!G10</f>
        <v>0.85</v>
      </c>
      <c r="H262" s="68">
        <f>Finishing!H10</f>
        <v>0.15</v>
      </c>
      <c r="I262" s="68">
        <f>Finishing!I10</f>
        <v>0.4</v>
      </c>
      <c r="J262" s="68">
        <f>Finishing!J10</f>
        <v>2E-3</v>
      </c>
      <c r="K262" s="67">
        <f>Finishing!K10</f>
        <v>2.6</v>
      </c>
      <c r="L262" s="67">
        <f>Finishing!L10</f>
        <v>5.5</v>
      </c>
      <c r="M262" s="67">
        <f>Finishing!M10</f>
        <v>0</v>
      </c>
      <c r="N262" s="67">
        <f>Finishing!N10</f>
        <v>2</v>
      </c>
      <c r="O262" s="67">
        <f>Finishing!O10</f>
        <v>4</v>
      </c>
      <c r="P262" s="5">
        <f t="shared" si="50"/>
        <v>1.7</v>
      </c>
      <c r="Q262" s="5">
        <f t="shared" si="51"/>
        <v>1.4499999999999997</v>
      </c>
      <c r="R262" s="5">
        <f t="shared" si="52"/>
        <v>3.3999999999999995</v>
      </c>
      <c r="S262" s="5">
        <f t="shared" si="53"/>
        <v>2.0654787085515478</v>
      </c>
    </row>
    <row r="263" spans="1:19" x14ac:dyDescent="0.75">
      <c r="A263" s="5">
        <f t="shared" si="48"/>
        <v>118</v>
      </c>
      <c r="B263" s="5">
        <f t="shared" si="47"/>
        <v>67.428571428571431</v>
      </c>
      <c r="C263" s="5">
        <f t="shared" si="49"/>
        <v>168.27393542757738</v>
      </c>
      <c r="D263" s="67">
        <f>Finishing!D11</f>
        <v>0.45573186334741117</v>
      </c>
      <c r="E263" s="67">
        <f>Finishing!E11</f>
        <v>8.8999701934557311</v>
      </c>
      <c r="F263" s="67">
        <f>Finishing!F11</f>
        <v>0.11</v>
      </c>
      <c r="G263" s="68">
        <f>Finishing!G11</f>
        <v>0</v>
      </c>
      <c r="H263" s="68">
        <f>Finishing!H11</f>
        <v>0.15</v>
      </c>
      <c r="I263" s="68">
        <f>Finishing!I11</f>
        <v>0.4</v>
      </c>
      <c r="J263" s="68">
        <f>Finishing!J11</f>
        <v>2E-3</v>
      </c>
      <c r="K263" s="67">
        <f>Finishing!K11</f>
        <v>2.7</v>
      </c>
      <c r="L263" s="67">
        <f>Finishing!L11</f>
        <v>5.5</v>
      </c>
      <c r="M263" s="67">
        <f>Finishing!M11</f>
        <v>0</v>
      </c>
      <c r="N263" s="67">
        <f>Finishing!N11</f>
        <v>2</v>
      </c>
      <c r="O263" s="67">
        <f>Finishing!O11</f>
        <v>4</v>
      </c>
      <c r="P263" s="5">
        <f t="shared" si="50"/>
        <v>1.7</v>
      </c>
      <c r="Q263" s="5">
        <f t="shared" si="51"/>
        <v>1.5999999999999996</v>
      </c>
      <c r="R263" s="5">
        <f t="shared" si="52"/>
        <v>3.7999999999999994</v>
      </c>
      <c r="S263" s="5">
        <f t="shared" si="53"/>
        <v>2.5043332545799371</v>
      </c>
    </row>
    <row r="264" spans="1:19" x14ac:dyDescent="0.75">
      <c r="A264" s="5">
        <f t="shared" si="48"/>
        <v>128</v>
      </c>
      <c r="B264" s="5">
        <f t="shared" si="47"/>
        <v>73.142857142857139</v>
      </c>
      <c r="C264" s="5">
        <f t="shared" si="49"/>
        <v>190.21666272899685</v>
      </c>
      <c r="D264" s="67">
        <f>Finishing!D12</f>
        <v>0.39717641305340173</v>
      </c>
      <c r="E264" s="67">
        <f>Finishing!E12</f>
        <v>10.408473071748519</v>
      </c>
      <c r="F264" s="67">
        <f>Finishing!F12</f>
        <v>0.11</v>
      </c>
      <c r="G264" s="68">
        <f>Finishing!G12</f>
        <v>0</v>
      </c>
      <c r="H264" s="68">
        <f>Finishing!H12</f>
        <v>0.15</v>
      </c>
      <c r="I264" s="68">
        <f>Finishing!I12</f>
        <v>0.4</v>
      </c>
      <c r="J264" s="68">
        <f>Finishing!J12</f>
        <v>2E-3</v>
      </c>
      <c r="K264" s="67">
        <f>Finishing!K12</f>
        <v>2.8</v>
      </c>
      <c r="L264" s="67">
        <f>Finishing!L12</f>
        <v>6</v>
      </c>
      <c r="M264" s="67">
        <f>Finishing!M12</f>
        <v>0</v>
      </c>
      <c r="N264" s="67">
        <f>Finishing!N12</f>
        <v>2</v>
      </c>
      <c r="O264" s="67">
        <f>Finishing!O12</f>
        <v>4</v>
      </c>
      <c r="P264" s="5">
        <f t="shared" si="50"/>
        <v>1.7</v>
      </c>
      <c r="Q264" s="5">
        <f t="shared" si="51"/>
        <v>1.7499999999999996</v>
      </c>
      <c r="R264" s="5">
        <f t="shared" si="52"/>
        <v>4.1999999999999993</v>
      </c>
      <c r="S264" s="5">
        <f t="shared" si="53"/>
        <v>3.0078878298943312</v>
      </c>
    </row>
    <row r="265" spans="1:19" x14ac:dyDescent="0.75">
      <c r="A265" s="5">
        <f t="shared" si="48"/>
        <v>138</v>
      </c>
      <c r="B265" s="5">
        <f t="shared" si="47"/>
        <v>78.857142857142861</v>
      </c>
      <c r="C265" s="5">
        <f t="shared" si="49"/>
        <v>215.39439149471656</v>
      </c>
      <c r="D265" s="67">
        <f>Finishing!D13</f>
        <v>0.34374155492040259</v>
      </c>
      <c r="E265" s="67">
        <f>Finishing!E13</f>
        <v>12.137025449151981</v>
      </c>
      <c r="F265" s="67">
        <f>Finishing!F13</f>
        <v>0.11</v>
      </c>
      <c r="G265" s="68">
        <f>Finishing!G13</f>
        <v>0</v>
      </c>
      <c r="H265" s="68">
        <f>Finishing!H13</f>
        <v>0.15</v>
      </c>
      <c r="I265" s="68">
        <f>Finishing!I13</f>
        <v>0.4</v>
      </c>
      <c r="J265" s="68">
        <f>Finishing!J13</f>
        <v>2E-3</v>
      </c>
      <c r="K265" s="67">
        <f>Finishing!K13</f>
        <v>2.9</v>
      </c>
      <c r="L265" s="67">
        <f>Finishing!L13</f>
        <v>6</v>
      </c>
      <c r="M265" s="67">
        <f>Finishing!M13</f>
        <v>0</v>
      </c>
      <c r="N265" s="67">
        <f>Finishing!N13</f>
        <v>2.75</v>
      </c>
      <c r="O265" s="67">
        <f>Finishing!O13</f>
        <v>3</v>
      </c>
      <c r="P265" s="5">
        <f t="shared" si="50"/>
        <v>1.7</v>
      </c>
      <c r="Q265" s="5">
        <f t="shared" si="51"/>
        <v>1.8999999999999995</v>
      </c>
      <c r="R265" s="5">
        <f t="shared" si="52"/>
        <v>4.5999999999999996</v>
      </c>
      <c r="S265" s="5">
        <f t="shared" si="53"/>
        <v>3.5897203058843594</v>
      </c>
    </row>
    <row r="266" spans="1:19" x14ac:dyDescent="0.75">
      <c r="A266" s="5">
        <f t="shared" si="48"/>
        <v>148</v>
      </c>
      <c r="B266" s="5">
        <f t="shared" si="47"/>
        <v>84.571428571428569</v>
      </c>
      <c r="C266" s="5">
        <f t="shared" si="49"/>
        <v>244.48601529421796</v>
      </c>
      <c r="D266" s="67">
        <f>Finishing!D14</f>
        <v>0.29511059472295603</v>
      </c>
      <c r="E266" s="67">
        <f>Finishing!E14</f>
        <v>14.130295809659806</v>
      </c>
      <c r="F266" s="67">
        <f>Finishing!F14</f>
        <v>0.11</v>
      </c>
      <c r="G266" s="68">
        <f>Finishing!G14</f>
        <v>0</v>
      </c>
      <c r="H266" s="68">
        <f>Finishing!H14</f>
        <v>0.15</v>
      </c>
      <c r="I266" s="68">
        <f>Finishing!I14</f>
        <v>0.4</v>
      </c>
      <c r="J266" s="68">
        <f>Finishing!J14</f>
        <v>2E-3</v>
      </c>
      <c r="K266" s="67">
        <f>Finishing!K14</f>
        <v>3</v>
      </c>
      <c r="L266" s="67">
        <f>Finishing!L14</f>
        <v>6.5</v>
      </c>
      <c r="M266" s="67">
        <f>Finishing!M14</f>
        <v>3.5</v>
      </c>
      <c r="N266" s="67">
        <f>Finishing!N14</f>
        <v>2.75</v>
      </c>
      <c r="O266" s="67">
        <f>Finishing!O14</f>
        <v>3</v>
      </c>
      <c r="P266" s="5">
        <f t="shared" si="50"/>
        <v>1.7</v>
      </c>
      <c r="Q266" s="5">
        <f t="shared" si="51"/>
        <v>2.0499999999999994</v>
      </c>
      <c r="R266" s="5">
        <f t="shared" si="52"/>
        <v>5</v>
      </c>
      <c r="S266" s="5">
        <f t="shared" si="53"/>
        <v>4.2674323351246386</v>
      </c>
    </row>
    <row r="267" spans="1:19" x14ac:dyDescent="0.75">
      <c r="A267" s="5">
        <f t="shared" si="48"/>
        <v>158</v>
      </c>
      <c r="B267" s="5">
        <f t="shared" si="47"/>
        <v>90.285714285714278</v>
      </c>
      <c r="C267" s="5">
        <f t="shared" si="49"/>
        <v>278.3716167562319</v>
      </c>
      <c r="D267" s="67">
        <f>Finishing!D15</f>
        <v>0.25073374395891568</v>
      </c>
      <c r="E267" s="67">
        <f>Finishing!E15</f>
        <v>16.463679498505787</v>
      </c>
      <c r="F267" s="67">
        <f>Finishing!F15</f>
        <v>0.11</v>
      </c>
      <c r="G267" s="68">
        <f>Finishing!G15</f>
        <v>0</v>
      </c>
      <c r="H267" s="68">
        <f>Finishing!H15</f>
        <v>0.15</v>
      </c>
      <c r="I267" s="68">
        <f>Finishing!I15</f>
        <v>0.4</v>
      </c>
      <c r="J267" s="68">
        <f>Finishing!J15</f>
        <v>2E-3</v>
      </c>
      <c r="K267" s="67">
        <f>Finishing!K15</f>
        <v>3.1</v>
      </c>
      <c r="L267" s="67">
        <f>Finishing!L15</f>
        <v>6.5</v>
      </c>
      <c r="M267" s="67">
        <f>Finishing!M15</f>
        <v>3.5</v>
      </c>
      <c r="N267" s="67">
        <f>Finishing!N15</f>
        <v>2.75</v>
      </c>
      <c r="O267" s="67">
        <f>Finishing!O15</f>
        <v>3</v>
      </c>
      <c r="P267" s="5">
        <f t="shared" si="50"/>
        <v>1.7</v>
      </c>
      <c r="Q267" s="5">
        <f t="shared" si="51"/>
        <v>2.1999999999999993</v>
      </c>
      <c r="R267" s="5">
        <f t="shared" si="52"/>
        <v>5.4</v>
      </c>
      <c r="S267" s="5">
        <f t="shared" si="53"/>
        <v>5.0650912255561211</v>
      </c>
    </row>
    <row r="268" spans="1:19" x14ac:dyDescent="0.75">
      <c r="A268" s="5">
        <f t="shared" si="48"/>
        <v>168</v>
      </c>
      <c r="B268" s="5">
        <f t="shared" si="47"/>
        <v>96</v>
      </c>
      <c r="C268" s="5">
        <f t="shared" si="49"/>
        <v>318.25456127780603</v>
      </c>
      <c r="D268" s="67">
        <f>Finishing!D16</f>
        <v>0.20997477820430568</v>
      </c>
      <c r="E268" s="67">
        <f>Finishing!E16</f>
        <v>19.268980944288639</v>
      </c>
      <c r="F268" s="67">
        <f>Finishing!F16</f>
        <v>0.11</v>
      </c>
      <c r="G268" s="68">
        <f>Finishing!G16</f>
        <v>0</v>
      </c>
      <c r="H268" s="68">
        <f>Finishing!H16</f>
        <v>0.15</v>
      </c>
      <c r="I268" s="68">
        <f>Finishing!I16</f>
        <v>0.4</v>
      </c>
      <c r="J268" s="68">
        <f>Finishing!J16</f>
        <v>2E-3</v>
      </c>
      <c r="K268" s="67">
        <f>Finishing!K16</f>
        <v>3.2</v>
      </c>
      <c r="L268" s="67">
        <f>Finishing!L16</f>
        <v>6</v>
      </c>
      <c r="M268" s="67">
        <f>Finishing!M16</f>
        <v>3.5</v>
      </c>
      <c r="N268" s="67">
        <f>Finishing!N16</f>
        <v>2.75</v>
      </c>
      <c r="O268" s="67">
        <f>Finishing!O16</f>
        <v>3</v>
      </c>
      <c r="P268" s="5">
        <f t="shared" si="50"/>
        <v>1.7</v>
      </c>
      <c r="Q268" s="5">
        <f t="shared" si="51"/>
        <v>2.3499999999999992</v>
      </c>
      <c r="R268" s="5">
        <f t="shared" si="52"/>
        <v>5.8000000000000007</v>
      </c>
      <c r="S268" s="5">
        <f t="shared" si="53"/>
        <v>6.017586576237715</v>
      </c>
    </row>
    <row r="269" spans="1:19" x14ac:dyDescent="0.75">
      <c r="A269" s="5">
        <f t="shared" si="48"/>
        <v>178</v>
      </c>
      <c r="B269" s="5">
        <f t="shared" si="47"/>
        <v>101.71428571428571</v>
      </c>
      <c r="C269" s="5">
        <f t="shared" si="49"/>
        <v>365.87932881188573</v>
      </c>
      <c r="D269" s="67">
        <f>Finishing!D17</f>
        <v>0</v>
      </c>
      <c r="E269" s="67">
        <f>Finishing!E17</f>
        <v>0</v>
      </c>
      <c r="F269" s="67">
        <f>Finishing!F17</f>
        <v>0.11</v>
      </c>
      <c r="G269" s="68">
        <f>Finishing!G17</f>
        <v>0</v>
      </c>
      <c r="H269" s="68">
        <f>Finishing!H17</f>
        <v>0.15</v>
      </c>
      <c r="I269" s="68">
        <f>Finishing!I17</f>
        <v>0.4</v>
      </c>
      <c r="J269" s="68">
        <f>Finishing!J17</f>
        <v>2E-3</v>
      </c>
      <c r="K269" s="67">
        <f>Finishing!K17</f>
        <v>3.3</v>
      </c>
      <c r="L269" s="67">
        <f>Finishing!L17</f>
        <v>6</v>
      </c>
      <c r="M269" s="67">
        <f>Finishing!M17</f>
        <v>3.5</v>
      </c>
      <c r="N269" s="67">
        <f>Finishing!N17</f>
        <v>2.75</v>
      </c>
      <c r="O269" s="67">
        <f>Finishing!O17</f>
        <v>3</v>
      </c>
      <c r="P269" s="5">
        <f t="shared" si="50"/>
        <v>1.7</v>
      </c>
      <c r="Q269" s="5">
        <f t="shared" si="51"/>
        <v>2.4999999999999991</v>
      </c>
      <c r="R269" s="5">
        <f t="shared" si="52"/>
        <v>6.2000000000000011</v>
      </c>
      <c r="S269" s="5" t="e">
        <f t="shared" si="53"/>
        <v>#DIV/0!</v>
      </c>
    </row>
    <row r="270" spans="1:19" x14ac:dyDescent="0.75">
      <c r="A270" s="5">
        <f t="shared" si="48"/>
        <v>188</v>
      </c>
      <c r="B270" s="5">
        <f t="shared" si="47"/>
        <v>107.42857142857143</v>
      </c>
      <c r="C270" s="5" t="e">
        <f t="shared" si="49"/>
        <v>#DIV/0!</v>
      </c>
      <c r="D270" s="67">
        <f>Finishing!D18</f>
        <v>0</v>
      </c>
      <c r="E270" s="67">
        <f>Finishing!E18</f>
        <v>0</v>
      </c>
      <c r="F270" s="67">
        <f>Finishing!F18</f>
        <v>0.11</v>
      </c>
      <c r="G270" s="68">
        <f>Finishing!G18</f>
        <v>0</v>
      </c>
      <c r="H270" s="68">
        <f>Finishing!H18</f>
        <v>0.15</v>
      </c>
      <c r="I270" s="68">
        <f>Finishing!I18</f>
        <v>0.4</v>
      </c>
      <c r="J270" s="68">
        <f>Finishing!J18</f>
        <v>2E-3</v>
      </c>
      <c r="K270" s="67">
        <f>Finishing!K18</f>
        <v>3.4</v>
      </c>
      <c r="L270" s="67">
        <f>Finishing!L18</f>
        <v>6</v>
      </c>
      <c r="M270" s="67">
        <f>Finishing!M18</f>
        <v>3.5</v>
      </c>
      <c r="N270" s="67">
        <f>Finishing!N18</f>
        <v>2.75</v>
      </c>
      <c r="O270" s="67">
        <f>Finishing!O18</f>
        <v>3</v>
      </c>
      <c r="P270" s="5">
        <f t="shared" si="50"/>
        <v>1.7</v>
      </c>
      <c r="Q270" s="5">
        <f t="shared" si="51"/>
        <v>2.649999999999999</v>
      </c>
      <c r="R270" s="5">
        <f t="shared" si="52"/>
        <v>6.6000000000000014</v>
      </c>
      <c r="S270" s="5" t="e">
        <f>J270*(C270-C269)*$B$229+S269</f>
        <v>#DIV/0!</v>
      </c>
    </row>
    <row r="272" spans="1:19" x14ac:dyDescent="0.75">
      <c r="A272" s="1" t="s">
        <v>89</v>
      </c>
      <c r="B272" s="3"/>
      <c r="C272" s="3"/>
      <c r="D272" s="3"/>
      <c r="E272" s="3"/>
      <c r="F272" s="4"/>
      <c r="G272" s="3"/>
      <c r="H272" s="5"/>
      <c r="I272" s="3"/>
      <c r="J272" s="3" t="s">
        <v>128</v>
      </c>
      <c r="K272" s="3"/>
      <c r="L272" s="3"/>
      <c r="M272" s="3"/>
      <c r="N272" s="3"/>
      <c r="O272" s="5"/>
      <c r="P272" s="3"/>
      <c r="Q272" s="5"/>
      <c r="R272" s="5"/>
      <c r="S272" s="5"/>
    </row>
    <row r="273" spans="1:19" x14ac:dyDescent="0.75">
      <c r="A273" s="3" t="s">
        <v>0</v>
      </c>
      <c r="B273" s="3" t="s">
        <v>1</v>
      </c>
      <c r="C273" s="3" t="s">
        <v>90</v>
      </c>
      <c r="D273" s="3" t="s">
        <v>90</v>
      </c>
      <c r="E273" s="3" t="s">
        <v>91</v>
      </c>
      <c r="F273" s="3" t="s">
        <v>91</v>
      </c>
      <c r="G273" s="3" t="s">
        <v>92</v>
      </c>
      <c r="H273" s="3" t="s">
        <v>4</v>
      </c>
      <c r="I273" s="4" t="s">
        <v>5</v>
      </c>
      <c r="J273" s="3" t="s">
        <v>5</v>
      </c>
      <c r="K273" s="5" t="s">
        <v>129</v>
      </c>
      <c r="L273" s="3" t="s">
        <v>20</v>
      </c>
      <c r="M273" s="3" t="s">
        <v>122</v>
      </c>
      <c r="N273" s="3" t="s">
        <v>94</v>
      </c>
      <c r="O273" s="3" t="s">
        <v>95</v>
      </c>
      <c r="P273" s="5" t="s">
        <v>115</v>
      </c>
      <c r="Q273" s="5" t="s">
        <v>116</v>
      </c>
      <c r="R273" s="5" t="s">
        <v>113</v>
      </c>
      <c r="S273" s="5"/>
    </row>
    <row r="274" spans="1:19" x14ac:dyDescent="0.75">
      <c r="A274" s="3" t="s">
        <v>24</v>
      </c>
      <c r="B274" s="3" t="s">
        <v>11</v>
      </c>
      <c r="C274" s="3" t="s">
        <v>76</v>
      </c>
      <c r="D274" s="3" t="s">
        <v>174</v>
      </c>
      <c r="E274" s="3" t="s">
        <v>76</v>
      </c>
      <c r="F274" s="3" t="s">
        <v>93</v>
      </c>
      <c r="G274" s="3" t="s">
        <v>76</v>
      </c>
      <c r="H274" s="3" t="s">
        <v>73</v>
      </c>
      <c r="I274" s="4" t="s">
        <v>74</v>
      </c>
      <c r="J274" s="3" t="s">
        <v>75</v>
      </c>
      <c r="K274" s="5" t="s">
        <v>76</v>
      </c>
      <c r="L274" s="3" t="s">
        <v>76</v>
      </c>
      <c r="M274" s="3" t="s">
        <v>76</v>
      </c>
      <c r="N274" s="3" t="s">
        <v>120</v>
      </c>
      <c r="O274" s="3" t="s">
        <v>121</v>
      </c>
      <c r="P274" s="3" t="s">
        <v>117</v>
      </c>
      <c r="Q274" s="3" t="s">
        <v>117</v>
      </c>
      <c r="R274" s="3" t="s">
        <v>117</v>
      </c>
      <c r="S274" s="5"/>
    </row>
    <row r="275" spans="1:19" x14ac:dyDescent="0.75">
      <c r="A275" s="11">
        <f>B202</f>
        <v>48</v>
      </c>
      <c r="B275" s="15">
        <f>Comparisons!F31</f>
        <v>2.4</v>
      </c>
      <c r="C275" s="48">
        <f t="shared" ref="C275:C289" si="54">G275-E275-F275</f>
        <v>20.693848396157637</v>
      </c>
      <c r="D275" s="48">
        <f>C275*$B$226*(1-Q256/100)</f>
        <v>31.811168119880836</v>
      </c>
      <c r="E275" s="49">
        <f t="shared" ref="E275:E289" si="55">K275+M275+P256+R256+S256+K256+L256+M256+(N275+O275+P275+Q275)</f>
        <v>105.47077123681372</v>
      </c>
      <c r="F275" s="49">
        <f t="shared" ref="F275:F289" si="56">(K275+P256+R256+S256+M256+(N275+O275+P275+Q275))*(Q256/100)</f>
        <v>0.29740431371044118</v>
      </c>
      <c r="G275" s="49">
        <f t="shared" ref="G275:G289" si="57">L275+N256+R275</f>
        <v>126.4620239466818</v>
      </c>
      <c r="H275" s="5">
        <f t="shared" ref="H275:H289" si="58">D256*E256</f>
        <v>2.3899999999999997</v>
      </c>
      <c r="I275" s="5">
        <f t="shared" ref="I275:I289" si="59">H275*F256</f>
        <v>0.27484999999999998</v>
      </c>
      <c r="J275" s="5">
        <f t="shared" ref="J275:J288" si="60">I275*(C257-C256)</f>
        <v>3.437424181209618</v>
      </c>
      <c r="K275" s="5">
        <f>$B$212+J275</f>
        <v>3.437424181209618</v>
      </c>
      <c r="L275" s="5">
        <f t="shared" ref="L275:L289" si="61">A275*(1-O256/100)*B275</f>
        <v>109.43999999999998</v>
      </c>
      <c r="M275" s="5">
        <f t="shared" ref="M275:M289" si="62">0.007*A275</f>
        <v>0.33600000000000002</v>
      </c>
      <c r="N275" s="5">
        <f>$F$226/(1-$B$240/100)</f>
        <v>61.275973346462017</v>
      </c>
      <c r="O275" s="5">
        <f>$B$237/(1-$B$240/100)</f>
        <v>25.912275973552475</v>
      </c>
      <c r="P275" s="5">
        <f>$B$245/(1-$B$240/100)</f>
        <v>4.6442609322827177</v>
      </c>
      <c r="Q275" s="5">
        <f>$B$248/(1-$B$240/100)</f>
        <v>1.7647058823529411</v>
      </c>
      <c r="R275" s="5">
        <f>$B$251/(1-$B$240/100)</f>
        <v>15.022023946681815</v>
      </c>
      <c r="S275" s="5"/>
    </row>
    <row r="276" spans="1:19" x14ac:dyDescent="0.75">
      <c r="A276" s="11">
        <f>A275+10</f>
        <v>58</v>
      </c>
      <c r="B276" s="15">
        <f>Comparisons!F32</f>
        <v>2.2999999999999998</v>
      </c>
      <c r="C276" s="48">
        <f t="shared" si="54"/>
        <v>32.917389269106529</v>
      </c>
      <c r="D276" s="48">
        <f t="shared" ref="D276:D289" si="63">C276*$B$226*(1-Q257/100)</f>
        <v>50.449278920267211</v>
      </c>
      <c r="E276" s="49">
        <f t="shared" si="55"/>
        <v>110.2123962997766</v>
      </c>
      <c r="F276" s="49">
        <f t="shared" si="56"/>
        <v>0.62223837779865965</v>
      </c>
      <c r="G276" s="49">
        <f t="shared" si="57"/>
        <v>143.75202394668179</v>
      </c>
      <c r="H276" s="5">
        <f t="shared" si="58"/>
        <v>2.7479999999999998</v>
      </c>
      <c r="I276" s="5">
        <f t="shared" si="59"/>
        <v>0.31601999999999997</v>
      </c>
      <c r="J276" s="5">
        <f t="shared" si="60"/>
        <v>3.9233288268481945</v>
      </c>
      <c r="K276" s="5">
        <f>K275+J276</f>
        <v>7.360753008057813</v>
      </c>
      <c r="L276" s="5">
        <f t="shared" si="61"/>
        <v>126.72999999999998</v>
      </c>
      <c r="M276" s="5">
        <f t="shared" si="62"/>
        <v>0.40600000000000003</v>
      </c>
      <c r="N276" s="5">
        <f t="shared" ref="N276:N289" si="64">$F$226/(1-$B$240/100)</f>
        <v>61.275973346462017</v>
      </c>
      <c r="O276" s="5">
        <f t="shared" ref="O276:O289" si="65">$B$237/(1-$B$240/100)</f>
        <v>25.912275973552475</v>
      </c>
      <c r="P276" s="5">
        <f t="shared" ref="P276:P289" si="66">$B$245/(1-$B$240/100)</f>
        <v>4.6442609322827177</v>
      </c>
      <c r="Q276" s="5">
        <f t="shared" ref="Q276:Q289" si="67">$B$248/(1-$B$240/100)</f>
        <v>1.7647058823529411</v>
      </c>
      <c r="R276" s="5">
        <f t="shared" ref="R276:R289" si="68">$B$251/(1-$B$240/100)</f>
        <v>15.022023946681815</v>
      </c>
      <c r="S276" s="5"/>
    </row>
    <row r="277" spans="1:19" x14ac:dyDescent="0.75">
      <c r="A277" s="11">
        <f t="shared" ref="A277:A289" si="69">A276+10</f>
        <v>68</v>
      </c>
      <c r="B277" s="15">
        <f>Comparisons!F33</f>
        <v>2.25</v>
      </c>
      <c r="C277" s="48">
        <f t="shared" si="54"/>
        <v>45.407349669705269</v>
      </c>
      <c r="D277" s="48">
        <f t="shared" si="63"/>
        <v>69.451402679074505</v>
      </c>
      <c r="E277" s="49">
        <f t="shared" si="55"/>
        <v>116.09333559223865</v>
      </c>
      <c r="F277" s="49">
        <f t="shared" si="56"/>
        <v>0.87133868473790921</v>
      </c>
      <c r="G277" s="49">
        <f t="shared" si="57"/>
        <v>162.37202394668182</v>
      </c>
      <c r="H277" s="5">
        <f t="shared" si="58"/>
        <v>3.0659999999999994</v>
      </c>
      <c r="I277" s="5">
        <f t="shared" si="59"/>
        <v>0.35258999999999996</v>
      </c>
      <c r="J277" s="5">
        <f t="shared" si="60"/>
        <v>4.5526962213940081</v>
      </c>
      <c r="K277" s="5">
        <f t="shared" ref="K277:K289" si="70">K276+J277</f>
        <v>11.913449229451821</v>
      </c>
      <c r="L277" s="5">
        <f t="shared" si="61"/>
        <v>145.35</v>
      </c>
      <c r="M277" s="5">
        <f t="shared" si="62"/>
        <v>0.47600000000000003</v>
      </c>
      <c r="N277" s="5">
        <f t="shared" si="64"/>
        <v>61.275973346462017</v>
      </c>
      <c r="O277" s="5">
        <f t="shared" si="65"/>
        <v>25.912275973552475</v>
      </c>
      <c r="P277" s="5">
        <f t="shared" si="66"/>
        <v>4.6442609322827177</v>
      </c>
      <c r="Q277" s="5">
        <f t="shared" si="67"/>
        <v>1.7647058823529411</v>
      </c>
      <c r="R277" s="5">
        <f t="shared" si="68"/>
        <v>15.022023946681815</v>
      </c>
      <c r="S277" s="5"/>
    </row>
    <row r="278" spans="1:19" x14ac:dyDescent="0.75">
      <c r="A278" s="11">
        <f t="shared" si="69"/>
        <v>78</v>
      </c>
      <c r="B278" s="15">
        <f>Comparisons!F34</f>
        <v>2.15</v>
      </c>
      <c r="C278" s="48">
        <f t="shared" si="54"/>
        <v>52.91036321518159</v>
      </c>
      <c r="D278" s="48">
        <f t="shared" si="63"/>
        <v>80.764244136880876</v>
      </c>
      <c r="E278" s="49">
        <f t="shared" si="55"/>
        <v>122.27734725891109</v>
      </c>
      <c r="F278" s="49">
        <f t="shared" si="56"/>
        <v>1.149313472589111</v>
      </c>
      <c r="G278" s="49">
        <f t="shared" si="57"/>
        <v>176.3370239466818</v>
      </c>
      <c r="H278" s="5">
        <f t="shared" si="58"/>
        <v>3.3440000000000007</v>
      </c>
      <c r="I278" s="5">
        <f t="shared" si="59"/>
        <v>0.38456000000000012</v>
      </c>
      <c r="J278" s="5">
        <f t="shared" si="60"/>
        <v>5.33647500132379</v>
      </c>
      <c r="K278" s="5">
        <f t="shared" si="70"/>
        <v>17.249924230775612</v>
      </c>
      <c r="L278" s="5">
        <f t="shared" si="61"/>
        <v>159.31499999999997</v>
      </c>
      <c r="M278" s="5">
        <f t="shared" si="62"/>
        <v>0.54600000000000004</v>
      </c>
      <c r="N278" s="5">
        <f t="shared" si="64"/>
        <v>61.275973346462017</v>
      </c>
      <c r="O278" s="5">
        <f t="shared" si="65"/>
        <v>25.912275973552475</v>
      </c>
      <c r="P278" s="5">
        <f t="shared" si="66"/>
        <v>4.6442609322827177</v>
      </c>
      <c r="Q278" s="5">
        <f t="shared" si="67"/>
        <v>1.7647058823529411</v>
      </c>
      <c r="R278" s="5">
        <f t="shared" si="68"/>
        <v>15.022023946681815</v>
      </c>
      <c r="S278" s="5"/>
    </row>
    <row r="279" spans="1:19" x14ac:dyDescent="0.75">
      <c r="A279" s="11">
        <f t="shared" si="69"/>
        <v>88</v>
      </c>
      <c r="B279" s="15">
        <f>Comparisons!F35</f>
        <v>2.0499999999999998</v>
      </c>
      <c r="C279" s="48">
        <f t="shared" si="54"/>
        <v>58.866022995088684</v>
      </c>
      <c r="D279" s="48">
        <f t="shared" si="63"/>
        <v>89.719029031537417</v>
      </c>
      <c r="E279" s="49">
        <f t="shared" si="55"/>
        <v>129.93789911180733</v>
      </c>
      <c r="F279" s="49">
        <f t="shared" si="56"/>
        <v>1.4021018397857841</v>
      </c>
      <c r="G279" s="49">
        <f t="shared" si="57"/>
        <v>190.2060239466818</v>
      </c>
      <c r="H279" s="5">
        <f t="shared" si="58"/>
        <v>3.5819999999999994</v>
      </c>
      <c r="I279" s="5">
        <f t="shared" si="59"/>
        <v>0.41192999999999996</v>
      </c>
      <c r="J279" s="5">
        <f t="shared" si="60"/>
        <v>6.2853842631063808</v>
      </c>
      <c r="K279" s="5">
        <f t="shared" si="70"/>
        <v>23.535308493881992</v>
      </c>
      <c r="L279" s="5">
        <f t="shared" si="61"/>
        <v>173.18399999999997</v>
      </c>
      <c r="M279" s="5">
        <f t="shared" si="62"/>
        <v>0.61599999999999999</v>
      </c>
      <c r="N279" s="5">
        <f t="shared" si="64"/>
        <v>61.275973346462017</v>
      </c>
      <c r="O279" s="5">
        <f t="shared" si="65"/>
        <v>25.912275973552475</v>
      </c>
      <c r="P279" s="5">
        <f t="shared" si="66"/>
        <v>4.6442609322827177</v>
      </c>
      <c r="Q279" s="5">
        <f t="shared" si="67"/>
        <v>1.7647058823529411</v>
      </c>
      <c r="R279" s="5">
        <f t="shared" si="68"/>
        <v>15.022023946681815</v>
      </c>
      <c r="S279" s="5"/>
    </row>
    <row r="280" spans="1:19" x14ac:dyDescent="0.75">
      <c r="A280" s="11">
        <f t="shared" si="69"/>
        <v>98</v>
      </c>
      <c r="B280" s="15">
        <f>Comparisons!F36</f>
        <v>1.95</v>
      </c>
      <c r="C280" s="48">
        <f t="shared" si="54"/>
        <v>60.854602941332544</v>
      </c>
      <c r="D280" s="48">
        <f t="shared" si="63"/>
        <v>92.609125082281153</v>
      </c>
      <c r="E280" s="49">
        <f t="shared" si="55"/>
        <v>137.93666239422436</v>
      </c>
      <c r="F280" s="49">
        <f t="shared" si="56"/>
        <v>1.6867586111249162</v>
      </c>
      <c r="G280" s="49">
        <f t="shared" si="57"/>
        <v>200.47802394668182</v>
      </c>
      <c r="H280" s="5">
        <f t="shared" si="58"/>
        <v>3.7800000000000002</v>
      </c>
      <c r="I280" s="5">
        <f t="shared" si="59"/>
        <v>0.4158</v>
      </c>
      <c r="J280" s="5">
        <f t="shared" si="60"/>
        <v>7.0878379367347586</v>
      </c>
      <c r="K280" s="5">
        <f t="shared" si="70"/>
        <v>30.62314643061675</v>
      </c>
      <c r="L280" s="5">
        <f t="shared" si="61"/>
        <v>183.45599999999999</v>
      </c>
      <c r="M280" s="5">
        <f t="shared" si="62"/>
        <v>0.68600000000000005</v>
      </c>
      <c r="N280" s="5">
        <f t="shared" si="64"/>
        <v>61.275973346462017</v>
      </c>
      <c r="O280" s="5">
        <f t="shared" si="65"/>
        <v>25.912275973552475</v>
      </c>
      <c r="P280" s="5">
        <f t="shared" si="66"/>
        <v>4.6442609322827177</v>
      </c>
      <c r="Q280" s="5">
        <f t="shared" si="67"/>
        <v>1.7647058823529411</v>
      </c>
      <c r="R280" s="5">
        <f t="shared" si="68"/>
        <v>15.022023946681815</v>
      </c>
      <c r="S280" s="5"/>
    </row>
    <row r="281" spans="1:19" x14ac:dyDescent="0.75">
      <c r="A281" s="11">
        <f t="shared" si="69"/>
        <v>108</v>
      </c>
      <c r="B281" s="15">
        <f>Comparisons!F37</f>
        <v>1.85</v>
      </c>
      <c r="C281" s="48">
        <f t="shared" si="54"/>
        <v>58.219531075644021</v>
      </c>
      <c r="D281" s="48">
        <f t="shared" si="63"/>
        <v>88.464398147463413</v>
      </c>
      <c r="E281" s="49">
        <f t="shared" si="55"/>
        <v>148.58443062694707</v>
      </c>
      <c r="F281" s="49">
        <f t="shared" si="56"/>
        <v>2.0260622440907321</v>
      </c>
      <c r="G281" s="49">
        <f t="shared" si="57"/>
        <v>208.83002394668182</v>
      </c>
      <c r="H281" s="5">
        <f t="shared" si="58"/>
        <v>3.9379999999999988</v>
      </c>
      <c r="I281" s="5">
        <f t="shared" si="59"/>
        <v>0.4331799999999999</v>
      </c>
      <c r="J281" s="5">
        <f t="shared" si="60"/>
        <v>8.3425893531286146</v>
      </c>
      <c r="K281" s="5">
        <f t="shared" si="70"/>
        <v>38.965735783745366</v>
      </c>
      <c r="L281" s="5">
        <f t="shared" si="61"/>
        <v>191.80799999999999</v>
      </c>
      <c r="M281" s="5">
        <f t="shared" si="62"/>
        <v>0.75600000000000001</v>
      </c>
      <c r="N281" s="5">
        <f t="shared" si="64"/>
        <v>61.275973346462017</v>
      </c>
      <c r="O281" s="5">
        <f t="shared" si="65"/>
        <v>25.912275973552475</v>
      </c>
      <c r="P281" s="5">
        <f t="shared" si="66"/>
        <v>4.6442609322827177</v>
      </c>
      <c r="Q281" s="5">
        <f t="shared" si="67"/>
        <v>1.7647058823529411</v>
      </c>
      <c r="R281" s="5">
        <f t="shared" si="68"/>
        <v>15.022023946681815</v>
      </c>
      <c r="S281" s="5"/>
    </row>
    <row r="282" spans="1:19" x14ac:dyDescent="0.75">
      <c r="A282" s="11">
        <f t="shared" si="69"/>
        <v>118</v>
      </c>
      <c r="B282" s="15">
        <f>Comparisons!F38</f>
        <v>1.68</v>
      </c>
      <c r="C282" s="48">
        <f t="shared" si="54"/>
        <v>45.543455522732629</v>
      </c>
      <c r="D282" s="48">
        <f t="shared" si="63"/>
        <v>69.097808363450582</v>
      </c>
      <c r="E282" s="49">
        <f t="shared" si="55"/>
        <v>159.38325238577676</v>
      </c>
      <c r="F282" s="49">
        <f t="shared" si="56"/>
        <v>2.4057160381724279</v>
      </c>
      <c r="G282" s="49">
        <f t="shared" si="57"/>
        <v>207.33242394668181</v>
      </c>
      <c r="H282" s="5">
        <f t="shared" si="58"/>
        <v>4.056</v>
      </c>
      <c r="I282" s="5">
        <f t="shared" si="59"/>
        <v>0.44616</v>
      </c>
      <c r="J282" s="5">
        <f t="shared" si="60"/>
        <v>9.7899672128013098</v>
      </c>
      <c r="K282" s="5">
        <f t="shared" si="70"/>
        <v>48.755702996546674</v>
      </c>
      <c r="L282" s="5">
        <f t="shared" si="61"/>
        <v>190.31039999999999</v>
      </c>
      <c r="M282" s="5">
        <f t="shared" si="62"/>
        <v>0.82600000000000007</v>
      </c>
      <c r="N282" s="5">
        <f t="shared" si="64"/>
        <v>61.275973346462017</v>
      </c>
      <c r="O282" s="5">
        <f t="shared" si="65"/>
        <v>25.912275973552475</v>
      </c>
      <c r="P282" s="5">
        <f t="shared" si="66"/>
        <v>4.6442609322827177</v>
      </c>
      <c r="Q282" s="5">
        <f t="shared" si="67"/>
        <v>1.7647058823529411</v>
      </c>
      <c r="R282" s="5">
        <f t="shared" si="68"/>
        <v>15.022023946681815</v>
      </c>
      <c r="S282" s="5"/>
    </row>
    <row r="283" spans="1:19" x14ac:dyDescent="0.75">
      <c r="A283" s="11">
        <f t="shared" si="69"/>
        <v>128</v>
      </c>
      <c r="B283" s="15">
        <f>Comparisons!F39</f>
        <v>1.65</v>
      </c>
      <c r="C283" s="48">
        <f t="shared" si="54"/>
        <v>44.520469378217022</v>
      </c>
      <c r="D283" s="48">
        <f t="shared" si="63"/>
        <v>67.442783928037272</v>
      </c>
      <c r="E283" s="49">
        <f t="shared" si="55"/>
        <v>172.40612734001454</v>
      </c>
      <c r="F283" s="49">
        <f t="shared" si="56"/>
        <v>2.8474272284502535</v>
      </c>
      <c r="G283" s="49">
        <f t="shared" si="57"/>
        <v>219.77402394668181</v>
      </c>
      <c r="H283" s="5">
        <f t="shared" si="58"/>
        <v>4.1339999999999986</v>
      </c>
      <c r="I283" s="5">
        <f t="shared" si="59"/>
        <v>0.45473999999999987</v>
      </c>
      <c r="J283" s="5">
        <f t="shared" si="60"/>
        <v>11.449320378923376</v>
      </c>
      <c r="K283" s="5">
        <f t="shared" si="70"/>
        <v>60.205023375470049</v>
      </c>
      <c r="L283" s="5">
        <f t="shared" si="61"/>
        <v>202.75199999999998</v>
      </c>
      <c r="M283" s="5">
        <f t="shared" si="62"/>
        <v>0.89600000000000002</v>
      </c>
      <c r="N283" s="5">
        <f t="shared" si="64"/>
        <v>61.275973346462017</v>
      </c>
      <c r="O283" s="5">
        <f t="shared" si="65"/>
        <v>25.912275973552475</v>
      </c>
      <c r="P283" s="5">
        <f t="shared" si="66"/>
        <v>4.6442609322827177</v>
      </c>
      <c r="Q283" s="5">
        <f t="shared" si="67"/>
        <v>1.7647058823529411</v>
      </c>
      <c r="R283" s="5">
        <f t="shared" si="68"/>
        <v>15.022023946681815</v>
      </c>
      <c r="S283" s="5"/>
    </row>
    <row r="284" spans="1:19" x14ac:dyDescent="0.75">
      <c r="A284" s="11">
        <f t="shared" si="69"/>
        <v>138</v>
      </c>
      <c r="B284" s="15">
        <f>Comparisons!F40</f>
        <v>1.6</v>
      </c>
      <c r="C284" s="48">
        <f t="shared" si="54"/>
        <v>41.675525068218711</v>
      </c>
      <c r="D284" s="48">
        <f t="shared" si="63"/>
        <v>63.036672926253132</v>
      </c>
      <c r="E284" s="49">
        <f t="shared" si="55"/>
        <v>186.90868781007174</v>
      </c>
      <c r="F284" s="49">
        <f t="shared" si="56"/>
        <v>3.3638110683913625</v>
      </c>
      <c r="G284" s="49">
        <f t="shared" si="57"/>
        <v>231.94802394668181</v>
      </c>
      <c r="H284" s="5">
        <f t="shared" si="58"/>
        <v>4.1719999999999997</v>
      </c>
      <c r="I284" s="5">
        <f t="shared" si="59"/>
        <v>0.45891999999999999</v>
      </c>
      <c r="J284" s="5">
        <f t="shared" si="60"/>
        <v>13.350727994067185</v>
      </c>
      <c r="K284" s="5">
        <f t="shared" si="70"/>
        <v>73.555751369537234</v>
      </c>
      <c r="L284" s="5">
        <f t="shared" si="61"/>
        <v>214.17599999999999</v>
      </c>
      <c r="M284" s="5">
        <f t="shared" si="62"/>
        <v>0.96599999999999997</v>
      </c>
      <c r="N284" s="5">
        <f t="shared" si="64"/>
        <v>61.275973346462017</v>
      </c>
      <c r="O284" s="5">
        <f t="shared" si="65"/>
        <v>25.912275973552475</v>
      </c>
      <c r="P284" s="5">
        <f t="shared" si="66"/>
        <v>4.6442609322827177</v>
      </c>
      <c r="Q284" s="5">
        <f t="shared" si="67"/>
        <v>1.7647058823529411</v>
      </c>
      <c r="R284" s="5">
        <f t="shared" si="68"/>
        <v>15.022023946681815</v>
      </c>
      <c r="S284" s="5"/>
    </row>
    <row r="285" spans="1:19" x14ac:dyDescent="0.75">
      <c r="A285" s="11">
        <f t="shared" si="69"/>
        <v>148</v>
      </c>
      <c r="B285" s="15">
        <f>Comparisons!F41</f>
        <v>1.55</v>
      </c>
      <c r="C285" s="48">
        <f t="shared" si="54"/>
        <v>28.548442349530276</v>
      </c>
      <c r="D285" s="48">
        <f t="shared" si="63"/>
        <v>43.115165072129749</v>
      </c>
      <c r="E285" s="49">
        <f t="shared" si="55"/>
        <v>207.69972522993783</v>
      </c>
      <c r="F285" s="49">
        <f t="shared" si="56"/>
        <v>4.0418563672137244</v>
      </c>
      <c r="G285" s="49">
        <f t="shared" si="57"/>
        <v>240.29002394668183</v>
      </c>
      <c r="H285" s="5">
        <f t="shared" si="58"/>
        <v>4.169999999999999</v>
      </c>
      <c r="I285" s="5">
        <f t="shared" si="59"/>
        <v>0.45869999999999989</v>
      </c>
      <c r="J285" s="5">
        <f t="shared" si="60"/>
        <v>15.543325390625789</v>
      </c>
      <c r="K285" s="5">
        <f t="shared" si="70"/>
        <v>89.09907676016303</v>
      </c>
      <c r="L285" s="5">
        <f t="shared" si="61"/>
        <v>222.518</v>
      </c>
      <c r="M285" s="5">
        <f t="shared" si="62"/>
        <v>1.036</v>
      </c>
      <c r="N285" s="5">
        <f t="shared" si="64"/>
        <v>61.275973346462017</v>
      </c>
      <c r="O285" s="5">
        <f t="shared" si="65"/>
        <v>25.912275973552475</v>
      </c>
      <c r="P285" s="5">
        <f t="shared" si="66"/>
        <v>4.6442609322827177</v>
      </c>
      <c r="Q285" s="5">
        <f t="shared" si="67"/>
        <v>1.7647058823529411</v>
      </c>
      <c r="R285" s="5">
        <f t="shared" si="68"/>
        <v>15.022023946681815</v>
      </c>
      <c r="S285" s="5"/>
    </row>
    <row r="286" spans="1:19" x14ac:dyDescent="0.75">
      <c r="A286" s="11">
        <f t="shared" si="69"/>
        <v>158</v>
      </c>
      <c r="B286" s="15">
        <f>Comparisons!F42</f>
        <v>1.4</v>
      </c>
      <c r="C286" s="48">
        <f t="shared" si="54"/>
        <v>0.39622088344416273</v>
      </c>
      <c r="D286" s="48">
        <f t="shared" si="63"/>
        <v>0.59747455193262911</v>
      </c>
      <c r="E286" s="49">
        <f t="shared" si="55"/>
        <v>227.17743156872567</v>
      </c>
      <c r="F286" s="49">
        <f t="shared" si="56"/>
        <v>4.7623714945119628</v>
      </c>
      <c r="G286" s="49">
        <f t="shared" si="57"/>
        <v>232.33602394668179</v>
      </c>
      <c r="H286" s="5">
        <f t="shared" si="58"/>
        <v>4.1279999999999992</v>
      </c>
      <c r="I286" s="5">
        <f t="shared" si="59"/>
        <v>0.45407999999999993</v>
      </c>
      <c r="J286" s="5">
        <f t="shared" si="60"/>
        <v>18.110047448356379</v>
      </c>
      <c r="K286" s="5">
        <f t="shared" si="70"/>
        <v>107.20912420851941</v>
      </c>
      <c r="L286" s="5">
        <f t="shared" si="61"/>
        <v>214.56399999999996</v>
      </c>
      <c r="M286" s="5">
        <f t="shared" si="62"/>
        <v>1.1060000000000001</v>
      </c>
      <c r="N286" s="5">
        <f t="shared" si="64"/>
        <v>61.275973346462017</v>
      </c>
      <c r="O286" s="5">
        <f t="shared" si="65"/>
        <v>25.912275973552475</v>
      </c>
      <c r="P286" s="5">
        <f t="shared" si="66"/>
        <v>4.6442609322827177</v>
      </c>
      <c r="Q286" s="5">
        <f t="shared" si="67"/>
        <v>1.7647058823529411</v>
      </c>
      <c r="R286" s="5">
        <f t="shared" si="68"/>
        <v>15.022023946681815</v>
      </c>
      <c r="S286" s="5"/>
    </row>
    <row r="287" spans="1:19" x14ac:dyDescent="0.75">
      <c r="A287" s="11">
        <f t="shared" si="69"/>
        <v>168</v>
      </c>
      <c r="B287" s="15">
        <f>Comparisons!F43</f>
        <v>1.3</v>
      </c>
      <c r="C287" s="48">
        <f t="shared" si="54"/>
        <v>-25.392747451458845</v>
      </c>
      <c r="D287" s="48">
        <f t="shared" si="63"/>
        <v>-38.231834402936038</v>
      </c>
      <c r="E287" s="49">
        <f t="shared" si="55"/>
        <v>249.39580595812475</v>
      </c>
      <c r="F287" s="49">
        <f t="shared" si="56"/>
        <v>5.6169654400159308</v>
      </c>
      <c r="G287" s="49">
        <f t="shared" si="57"/>
        <v>229.62002394668184</v>
      </c>
      <c r="H287" s="5">
        <f t="shared" si="58"/>
        <v>4.0459999999999994</v>
      </c>
      <c r="I287" s="5">
        <f t="shared" si="59"/>
        <v>0.44505999999999996</v>
      </c>
      <c r="J287" s="5">
        <f t="shared" si="60"/>
        <v>21.195879038717507</v>
      </c>
      <c r="K287" s="5">
        <f t="shared" si="70"/>
        <v>128.40500324723692</v>
      </c>
      <c r="L287" s="5">
        <f t="shared" si="61"/>
        <v>211.84800000000001</v>
      </c>
      <c r="M287" s="5">
        <f t="shared" si="62"/>
        <v>1.1759999999999999</v>
      </c>
      <c r="N287" s="5">
        <f t="shared" si="64"/>
        <v>61.275973346462017</v>
      </c>
      <c r="O287" s="5">
        <f t="shared" si="65"/>
        <v>25.912275973552475</v>
      </c>
      <c r="P287" s="5">
        <f t="shared" si="66"/>
        <v>4.6442609322827177</v>
      </c>
      <c r="Q287" s="5">
        <f t="shared" si="67"/>
        <v>1.7647058823529411</v>
      </c>
      <c r="R287" s="5">
        <f t="shared" si="68"/>
        <v>15.022023946681815</v>
      </c>
      <c r="S287" s="5"/>
    </row>
    <row r="288" spans="1:19" x14ac:dyDescent="0.75">
      <c r="A288" s="11">
        <f t="shared" si="69"/>
        <v>178</v>
      </c>
      <c r="B288" s="15">
        <f>Comparisons!F44</f>
        <v>0</v>
      </c>
      <c r="C288" s="48" t="e">
        <f t="shared" si="54"/>
        <v>#DIV/0!</v>
      </c>
      <c r="D288" s="48" t="e">
        <f t="shared" si="63"/>
        <v>#DIV/0!</v>
      </c>
      <c r="E288" s="49" t="e">
        <f t="shared" si="55"/>
        <v>#DIV/0!</v>
      </c>
      <c r="F288" s="49" t="e">
        <f t="shared" si="56"/>
        <v>#DIV/0!</v>
      </c>
      <c r="G288" s="49">
        <f t="shared" si="57"/>
        <v>17.772023946681813</v>
      </c>
      <c r="H288" s="5">
        <f t="shared" si="58"/>
        <v>0</v>
      </c>
      <c r="I288" s="5">
        <f t="shared" si="59"/>
        <v>0</v>
      </c>
      <c r="J288" s="5" t="e">
        <f t="shared" si="60"/>
        <v>#DIV/0!</v>
      </c>
      <c r="K288" s="5" t="e">
        <f t="shared" si="70"/>
        <v>#DIV/0!</v>
      </c>
      <c r="L288" s="5">
        <f t="shared" si="61"/>
        <v>0</v>
      </c>
      <c r="M288" s="5">
        <f t="shared" si="62"/>
        <v>1.246</v>
      </c>
      <c r="N288" s="5">
        <f t="shared" si="64"/>
        <v>61.275973346462017</v>
      </c>
      <c r="O288" s="5">
        <f t="shared" si="65"/>
        <v>25.912275973552475</v>
      </c>
      <c r="P288" s="5">
        <f t="shared" si="66"/>
        <v>4.6442609322827177</v>
      </c>
      <c r="Q288" s="5">
        <f t="shared" si="67"/>
        <v>1.7647058823529411</v>
      </c>
      <c r="R288" s="5">
        <f t="shared" si="68"/>
        <v>15.022023946681815</v>
      </c>
      <c r="S288" s="5"/>
    </row>
    <row r="289" spans="1:19" x14ac:dyDescent="0.75">
      <c r="A289" s="11">
        <f t="shared" si="69"/>
        <v>188</v>
      </c>
      <c r="B289" s="15">
        <f>Comparisons!F45</f>
        <v>0</v>
      </c>
      <c r="C289" s="48" t="e">
        <f t="shared" si="54"/>
        <v>#DIV/0!</v>
      </c>
      <c r="D289" s="48" t="e">
        <f t="shared" si="63"/>
        <v>#DIV/0!</v>
      </c>
      <c r="E289" s="49" t="e">
        <f t="shared" si="55"/>
        <v>#DIV/0!</v>
      </c>
      <c r="F289" s="49" t="e">
        <f t="shared" si="56"/>
        <v>#DIV/0!</v>
      </c>
      <c r="G289" s="49">
        <f t="shared" si="57"/>
        <v>17.772023946681813</v>
      </c>
      <c r="H289" s="5">
        <f t="shared" si="58"/>
        <v>0</v>
      </c>
      <c r="I289" s="5">
        <f t="shared" si="59"/>
        <v>0</v>
      </c>
      <c r="J289" s="5" t="e">
        <f>I289*(C270-C269)</f>
        <v>#DIV/0!</v>
      </c>
      <c r="K289" s="5" t="e">
        <f t="shared" si="70"/>
        <v>#DIV/0!</v>
      </c>
      <c r="L289" s="5">
        <f t="shared" si="61"/>
        <v>0</v>
      </c>
      <c r="M289" s="5">
        <f t="shared" si="62"/>
        <v>1.3160000000000001</v>
      </c>
      <c r="N289" s="5">
        <f t="shared" si="64"/>
        <v>61.275973346462017</v>
      </c>
      <c r="O289" s="5">
        <f t="shared" si="65"/>
        <v>25.912275973552475</v>
      </c>
      <c r="P289" s="5">
        <f t="shared" si="66"/>
        <v>4.6442609322827177</v>
      </c>
      <c r="Q289" s="5">
        <f t="shared" si="67"/>
        <v>1.7647058823529411</v>
      </c>
      <c r="R289" s="5">
        <f t="shared" si="68"/>
        <v>15.022023946681815</v>
      </c>
      <c r="S289" s="5"/>
    </row>
    <row r="301" spans="1:19" x14ac:dyDescent="0.75">
      <c r="A301" s="1" t="s">
        <v>49</v>
      </c>
      <c r="B301" s="3"/>
      <c r="C301" s="12"/>
      <c r="D301" s="3"/>
      <c r="E301" s="1" t="s">
        <v>173</v>
      </c>
      <c r="F301" s="4"/>
      <c r="G301" s="3"/>
      <c r="H301" s="5"/>
      <c r="I301" s="3"/>
      <c r="J301" s="3"/>
      <c r="K301" s="3"/>
      <c r="L301" s="3"/>
      <c r="M301" s="3"/>
      <c r="N301" s="3"/>
      <c r="O301" s="5"/>
      <c r="P301" s="3"/>
      <c r="Q301" s="5"/>
      <c r="R301" s="5"/>
      <c r="S301" s="5"/>
    </row>
    <row r="302" spans="1:19" x14ac:dyDescent="0.75">
      <c r="A302" t="s">
        <v>13</v>
      </c>
      <c r="B302" s="61">
        <f>Comparisons!G3</f>
        <v>48</v>
      </c>
      <c r="C302" s="12" t="s">
        <v>9</v>
      </c>
      <c r="D302" s="3"/>
      <c r="E302" s="1"/>
      <c r="F302" s="4"/>
      <c r="G302" s="3"/>
      <c r="H302" s="5"/>
      <c r="I302" s="3"/>
      <c r="J302" s="3"/>
      <c r="K302" s="3"/>
      <c r="L302" s="3"/>
      <c r="M302" s="3"/>
      <c r="N302" s="3"/>
      <c r="O302" s="5"/>
      <c r="P302" s="3"/>
      <c r="Q302" s="5"/>
      <c r="R302" s="5"/>
      <c r="S302" s="5"/>
    </row>
    <row r="303" spans="1:19" x14ac:dyDescent="0.75">
      <c r="A303" t="s">
        <v>14</v>
      </c>
      <c r="B303" s="63">
        <f>Comparisons!G4</f>
        <v>65</v>
      </c>
      <c r="C303" s="12" t="s">
        <v>10</v>
      </c>
      <c r="D303" s="3"/>
      <c r="E303" s="1"/>
      <c r="F303" s="4"/>
      <c r="G303" s="3"/>
      <c r="H303" s="5"/>
      <c r="I303" s="3"/>
      <c r="J303" s="3"/>
      <c r="K303" s="3"/>
      <c r="L303" s="3"/>
      <c r="M303" s="3"/>
      <c r="N303" s="3"/>
      <c r="O303" s="5"/>
      <c r="P303" s="3"/>
      <c r="Q303" s="5"/>
      <c r="R303" s="5"/>
      <c r="S303" s="5"/>
    </row>
    <row r="304" spans="1:19" x14ac:dyDescent="0.75">
      <c r="A304" t="s">
        <v>15</v>
      </c>
      <c r="B304" s="63">
        <f>Comparisons!G5</f>
        <v>0</v>
      </c>
      <c r="C304" s="12" t="s">
        <v>10</v>
      </c>
      <c r="D304" s="3"/>
      <c r="E304" s="1"/>
      <c r="F304" s="4"/>
      <c r="G304" s="3"/>
      <c r="H304" s="5"/>
      <c r="I304" s="3"/>
      <c r="J304" s="3"/>
      <c r="K304" s="3"/>
      <c r="L304" s="3"/>
      <c r="M304" s="3"/>
      <c r="N304" s="3"/>
      <c r="O304" s="5"/>
      <c r="P304" s="3"/>
      <c r="Q304" s="5"/>
      <c r="R304" s="5"/>
      <c r="S304" s="5"/>
    </row>
    <row r="305" spans="1:19" x14ac:dyDescent="0.75">
      <c r="A305" t="s">
        <v>16</v>
      </c>
      <c r="B305" s="63">
        <f>Comparisons!G6</f>
        <v>0.4</v>
      </c>
      <c r="C305" s="12" t="s">
        <v>53</v>
      </c>
      <c r="D305" s="3"/>
      <c r="E305" s="3"/>
      <c r="F305" s="4"/>
      <c r="G305" s="3"/>
      <c r="H305" s="5"/>
      <c r="I305" s="3"/>
      <c r="J305" s="3"/>
      <c r="K305" s="3"/>
      <c r="L305" s="3"/>
      <c r="M305" s="3"/>
      <c r="N305" s="3"/>
      <c r="O305" s="5"/>
      <c r="P305" s="3"/>
      <c r="Q305" s="5"/>
      <c r="R305" s="5"/>
      <c r="S305" s="5"/>
    </row>
    <row r="306" spans="1:19" x14ac:dyDescent="0.75">
      <c r="A306" t="s">
        <v>18</v>
      </c>
      <c r="B306" s="63">
        <f>Comparisons!G7</f>
        <v>0.15</v>
      </c>
      <c r="C306" s="12" t="s">
        <v>52</v>
      </c>
      <c r="D306" s="3"/>
      <c r="E306" s="3"/>
      <c r="F306" s="4"/>
      <c r="G306" s="3"/>
      <c r="H306" s="5"/>
      <c r="I306" s="3"/>
      <c r="J306" s="3"/>
      <c r="K306" s="3"/>
      <c r="L306" s="3"/>
      <c r="M306" s="3"/>
      <c r="N306" s="3"/>
      <c r="O306" s="5"/>
      <c r="P306" s="3"/>
      <c r="Q306" s="5"/>
      <c r="R306" s="5"/>
      <c r="S306" s="5"/>
    </row>
    <row r="307" spans="1:19" x14ac:dyDescent="0.75">
      <c r="A307" s="2" t="s">
        <v>19</v>
      </c>
      <c r="B307" s="23">
        <f>B304*B305*B306</f>
        <v>0</v>
      </c>
      <c r="C307" s="13" t="s">
        <v>23</v>
      </c>
      <c r="D307" s="3"/>
      <c r="E307" s="3"/>
      <c r="F307" s="4"/>
      <c r="G307" s="3"/>
      <c r="H307" s="5"/>
      <c r="I307" s="3"/>
      <c r="J307" s="3"/>
      <c r="K307" s="3"/>
      <c r="L307" s="3"/>
      <c r="M307" s="3"/>
      <c r="N307" s="3"/>
      <c r="O307" s="5"/>
      <c r="P307" s="3"/>
      <c r="Q307" s="5"/>
      <c r="R307" s="5"/>
      <c r="S307" s="5"/>
    </row>
    <row r="308" spans="1:19" x14ac:dyDescent="0.75">
      <c r="A308" t="s">
        <v>46</v>
      </c>
      <c r="B308" s="61">
        <f>Comparisons!G8</f>
        <v>0</v>
      </c>
      <c r="C308" s="12" t="s">
        <v>10</v>
      </c>
      <c r="D308" s="3"/>
      <c r="E308" s="3"/>
      <c r="F308" s="4"/>
      <c r="G308" s="3"/>
      <c r="H308" s="5"/>
      <c r="I308" s="3"/>
      <c r="J308" s="3"/>
      <c r="K308" s="3"/>
      <c r="L308" s="3"/>
      <c r="M308" s="3"/>
      <c r="N308" s="3"/>
      <c r="O308" s="5"/>
      <c r="P308" s="3"/>
      <c r="Q308" s="5"/>
      <c r="R308" s="5"/>
      <c r="S308" s="5"/>
    </row>
    <row r="309" spans="1:19" x14ac:dyDescent="0.75">
      <c r="A309" t="s">
        <v>47</v>
      </c>
      <c r="B309" s="63">
        <f>Comparisons!G9</f>
        <v>0.2</v>
      </c>
      <c r="C309" s="12" t="s">
        <v>53</v>
      </c>
      <c r="D309" s="3"/>
      <c r="E309" s="3"/>
      <c r="F309" s="4"/>
      <c r="G309" s="3"/>
      <c r="H309" s="5"/>
      <c r="I309" s="3"/>
      <c r="J309" s="3"/>
      <c r="K309" s="3"/>
      <c r="L309" s="3"/>
      <c r="M309" s="3"/>
      <c r="N309" s="3"/>
      <c r="O309" s="5"/>
      <c r="P309" s="3"/>
      <c r="Q309" s="5"/>
      <c r="R309" s="5"/>
      <c r="S309" s="5"/>
    </row>
    <row r="310" spans="1:19" x14ac:dyDescent="0.75">
      <c r="A310" t="s">
        <v>48</v>
      </c>
      <c r="B310" s="63">
        <f>Comparisons!G10</f>
        <v>7.0000000000000007E-2</v>
      </c>
      <c r="C310" s="12" t="s">
        <v>52</v>
      </c>
      <c r="D310" s="3"/>
      <c r="E310" s="3"/>
      <c r="F310" s="4"/>
      <c r="G310" s="3"/>
      <c r="H310" s="5"/>
      <c r="I310" s="3"/>
      <c r="J310" s="3"/>
      <c r="K310" s="3"/>
      <c r="L310" s="3"/>
      <c r="M310" s="3"/>
      <c r="N310" s="3"/>
      <c r="O310" s="5"/>
      <c r="P310" s="3"/>
      <c r="Q310" s="5"/>
      <c r="R310" s="5"/>
      <c r="S310" s="5"/>
    </row>
    <row r="311" spans="1:19" x14ac:dyDescent="0.75">
      <c r="A311" s="2" t="s">
        <v>44</v>
      </c>
      <c r="B311" s="23">
        <f>B308*B309*B310</f>
        <v>0</v>
      </c>
      <c r="C311" s="13" t="s">
        <v>23</v>
      </c>
      <c r="D311" s="3"/>
      <c r="E311" s="3"/>
      <c r="F311" s="4"/>
      <c r="G311" s="3"/>
      <c r="H311" s="5"/>
      <c r="I311" s="3"/>
      <c r="J311" s="3"/>
      <c r="K311" s="3"/>
      <c r="L311" s="3"/>
      <c r="M311" s="3"/>
      <c r="N311" s="3"/>
      <c r="O311" s="5"/>
      <c r="P311" s="3"/>
      <c r="Q311" s="5"/>
      <c r="R311" s="5"/>
      <c r="S311" s="5"/>
    </row>
    <row r="312" spans="1:19" x14ac:dyDescent="0.75">
      <c r="A312" s="2" t="s">
        <v>45</v>
      </c>
      <c r="B312" s="23">
        <f>B307+B311</f>
        <v>0</v>
      </c>
      <c r="C312" s="13" t="s">
        <v>23</v>
      </c>
      <c r="D312" s="3"/>
      <c r="E312" s="3"/>
      <c r="F312" s="4"/>
      <c r="G312" s="3"/>
      <c r="H312" s="5"/>
      <c r="I312" s="3"/>
      <c r="J312" s="3"/>
      <c r="K312" s="3"/>
      <c r="L312" s="3"/>
      <c r="M312" s="3"/>
      <c r="N312" s="3"/>
      <c r="O312" s="5"/>
      <c r="P312" s="3"/>
      <c r="Q312" s="5"/>
      <c r="R312" s="5"/>
      <c r="S312" s="5"/>
    </row>
    <row r="313" spans="1:19" x14ac:dyDescent="0.75">
      <c r="A313" s="2"/>
      <c r="B313" s="20"/>
      <c r="C313" s="13"/>
      <c r="D313" s="3"/>
      <c r="E313" s="3"/>
      <c r="F313" s="4"/>
      <c r="G313" s="3"/>
      <c r="H313" s="5"/>
      <c r="I313" s="3"/>
      <c r="J313" s="3"/>
      <c r="K313" s="3"/>
      <c r="L313" s="3"/>
      <c r="M313" s="3"/>
      <c r="N313" s="3"/>
      <c r="O313" s="5"/>
      <c r="P313" s="3"/>
      <c r="Q313" s="5"/>
      <c r="R313" s="5"/>
      <c r="S313" s="5"/>
    </row>
    <row r="314" spans="1:19" x14ac:dyDescent="0.75">
      <c r="A314" s="1" t="s">
        <v>102</v>
      </c>
      <c r="B314" s="3"/>
      <c r="C314" s="12"/>
      <c r="D314" s="3"/>
      <c r="E314" s="3"/>
      <c r="F314" s="4"/>
      <c r="G314" s="3"/>
      <c r="H314" s="5"/>
      <c r="I314" s="3"/>
      <c r="J314" s="3"/>
      <c r="K314" s="3"/>
      <c r="L314" s="3"/>
      <c r="M314" s="3"/>
      <c r="N314" s="3"/>
      <c r="O314" s="5"/>
      <c r="P314" s="3"/>
      <c r="Q314" s="5"/>
      <c r="R314" s="5"/>
      <c r="S314" s="5"/>
    </row>
    <row r="315" spans="1:19" x14ac:dyDescent="0.75">
      <c r="A315" t="s">
        <v>78</v>
      </c>
      <c r="B315" s="61">
        <v>100</v>
      </c>
      <c r="C315" s="12" t="s">
        <v>79</v>
      </c>
      <c r="D315" s="3"/>
      <c r="E315" t="s">
        <v>62</v>
      </c>
      <c r="F315" s="3">
        <v>2.4</v>
      </c>
      <c r="G315" s="12" t="s">
        <v>64</v>
      </c>
      <c r="H315" s="5"/>
      <c r="I315" s="3"/>
      <c r="J315" s="3"/>
      <c r="K315" s="3"/>
      <c r="L315" s="3"/>
      <c r="M315" s="3"/>
      <c r="N315" s="3"/>
      <c r="O315" s="5"/>
      <c r="P315" s="3"/>
      <c r="Q315" s="5"/>
      <c r="R315" s="5"/>
      <c r="S315" s="5"/>
    </row>
    <row r="316" spans="1:19" x14ac:dyDescent="0.75">
      <c r="A316" t="s">
        <v>27</v>
      </c>
      <c r="B316" s="61">
        <f>Comparisons!G11</f>
        <v>175</v>
      </c>
      <c r="C316" s="12" t="s">
        <v>54</v>
      </c>
      <c r="D316" s="3"/>
      <c r="E316" t="s">
        <v>61</v>
      </c>
      <c r="F316" s="3">
        <f>IF(B321&lt;1.5,2.8,3.2)</f>
        <v>3.2</v>
      </c>
      <c r="G316" s="12" t="s">
        <v>64</v>
      </c>
      <c r="H316" s="5"/>
      <c r="I316" s="3"/>
      <c r="J316" s="3"/>
      <c r="K316" s="3"/>
      <c r="L316" s="3"/>
      <c r="M316" s="3"/>
      <c r="N316" s="3"/>
      <c r="O316" s="5"/>
      <c r="P316" s="3"/>
      <c r="Q316" s="5"/>
      <c r="R316" s="5"/>
      <c r="S316" s="5"/>
    </row>
    <row r="317" spans="1:19" x14ac:dyDescent="0.75">
      <c r="A317" t="s">
        <v>28</v>
      </c>
      <c r="B317" s="63">
        <f>Comparisons!G12</f>
        <v>4.2000000000000003E-2</v>
      </c>
      <c r="C317" s="12" t="s">
        <v>52</v>
      </c>
      <c r="D317" s="3"/>
      <c r="E317" t="s">
        <v>63</v>
      </c>
      <c r="F317" s="3">
        <f>IF(B321&lt;1.5,3.5,3.9)</f>
        <v>3.9</v>
      </c>
      <c r="G317" s="12" t="s">
        <v>64</v>
      </c>
      <c r="H317" s="5"/>
      <c r="I317" s="3"/>
      <c r="J317" s="4"/>
      <c r="K317" s="3"/>
      <c r="L317" s="3"/>
      <c r="M317" s="3"/>
      <c r="N317" s="3"/>
      <c r="O317" s="5"/>
      <c r="P317" s="3"/>
      <c r="Q317" s="5"/>
      <c r="R317" s="5"/>
      <c r="S317" s="5"/>
    </row>
    <row r="318" spans="1:19" x14ac:dyDescent="0.75">
      <c r="A318" t="s">
        <v>29</v>
      </c>
      <c r="B318" s="63">
        <f>Comparisons!G13</f>
        <v>5.7000000000000002E-2</v>
      </c>
      <c r="C318" s="12" t="s">
        <v>52</v>
      </c>
      <c r="D318" s="3"/>
      <c r="E318" t="s">
        <v>62</v>
      </c>
      <c r="F318" s="25">
        <f>B316*F315/100*B317</f>
        <v>0.17640000000000003</v>
      </c>
      <c r="G318" s="12" t="s">
        <v>55</v>
      </c>
      <c r="H318" s="5"/>
      <c r="I318" s="3"/>
      <c r="J318" s="4"/>
      <c r="K318" s="3"/>
      <c r="L318" s="3"/>
      <c r="M318" s="3"/>
      <c r="N318" s="3"/>
      <c r="O318" s="5"/>
      <c r="P318" s="3"/>
      <c r="Q318" s="5"/>
      <c r="R318" s="5"/>
      <c r="S318" s="5"/>
    </row>
    <row r="319" spans="1:19" x14ac:dyDescent="0.75">
      <c r="A319" t="s">
        <v>30</v>
      </c>
      <c r="B319" s="63">
        <f>Comparisons!G14</f>
        <v>12</v>
      </c>
      <c r="C319" s="12" t="s">
        <v>82</v>
      </c>
      <c r="D319" s="3"/>
      <c r="E319" t="s">
        <v>61</v>
      </c>
      <c r="F319" s="25">
        <f>F316/100*B316*B318</f>
        <v>0.31920000000000004</v>
      </c>
      <c r="G319" s="12" t="s">
        <v>55</v>
      </c>
      <c r="H319" s="5"/>
      <c r="I319" s="3"/>
      <c r="J319" s="4"/>
      <c r="K319" s="3"/>
      <c r="L319" s="3"/>
      <c r="M319" s="3"/>
      <c r="N319" s="3"/>
      <c r="O319" s="5"/>
      <c r="P319" s="3"/>
      <c r="Q319" s="5"/>
      <c r="R319" s="5"/>
      <c r="S319" s="5"/>
    </row>
    <row r="320" spans="1:19" x14ac:dyDescent="0.75">
      <c r="A320" t="s">
        <v>31</v>
      </c>
      <c r="B320" s="63">
        <f>Comparisons!G15</f>
        <v>94</v>
      </c>
      <c r="C320" s="12" t="s">
        <v>25</v>
      </c>
      <c r="D320" s="3"/>
      <c r="E320" t="s">
        <v>63</v>
      </c>
      <c r="F320" s="25">
        <f>B316*F317/100*B318</f>
        <v>0.38902500000000001</v>
      </c>
      <c r="G320" s="12" t="s">
        <v>55</v>
      </c>
      <c r="H320" s="5"/>
      <c r="I320" s="3"/>
      <c r="J320" s="4"/>
      <c r="K320" s="3"/>
      <c r="L320" s="3"/>
      <c r="M320" s="3"/>
      <c r="N320" s="3"/>
      <c r="O320" s="5"/>
      <c r="P320" s="3"/>
      <c r="Q320" s="5"/>
      <c r="R320" s="5"/>
      <c r="S320" s="5"/>
    </row>
    <row r="321" spans="1:19" x14ac:dyDescent="0.75">
      <c r="A321" t="s">
        <v>32</v>
      </c>
      <c r="B321" s="63">
        <f>Comparisons!G16</f>
        <v>1.9</v>
      </c>
      <c r="C321" s="12" t="s">
        <v>33</v>
      </c>
      <c r="D321" s="3"/>
      <c r="E321" t="s">
        <v>26</v>
      </c>
      <c r="F321" s="3">
        <f>(B319*30-4*7-B303)*F318</f>
        <v>47.098800000000004</v>
      </c>
      <c r="G321" s="12" t="s">
        <v>80</v>
      </c>
      <c r="H321" s="5"/>
      <c r="I321" s="3"/>
      <c r="J321" s="4"/>
      <c r="K321" s="3"/>
      <c r="L321" s="3"/>
      <c r="M321" s="3"/>
      <c r="N321" s="3"/>
      <c r="O321" s="5"/>
      <c r="P321" s="3"/>
      <c r="Q321" s="5"/>
      <c r="R321" s="5"/>
      <c r="S321" s="5"/>
    </row>
    <row r="322" spans="1:19" x14ac:dyDescent="0.75">
      <c r="A322" t="s">
        <v>60</v>
      </c>
      <c r="B322" s="63">
        <f>Comparisons!G17</f>
        <v>11</v>
      </c>
      <c r="C322" s="12" t="s">
        <v>84</v>
      </c>
      <c r="D322" s="3"/>
      <c r="E322" t="s">
        <v>65</v>
      </c>
      <c r="F322" s="3">
        <f>4*7*F319</f>
        <v>8.9376000000000015</v>
      </c>
      <c r="G322" s="12" t="s">
        <v>80</v>
      </c>
      <c r="H322" s="5"/>
      <c r="I322" s="3"/>
      <c r="J322" s="4"/>
      <c r="K322" s="3"/>
      <c r="L322" s="3"/>
      <c r="M322" s="3"/>
      <c r="N322" s="3"/>
      <c r="O322" s="5"/>
      <c r="P322" s="3"/>
      <c r="Q322" s="5"/>
      <c r="R322" s="5"/>
      <c r="S322" s="5"/>
    </row>
    <row r="323" spans="1:19" x14ac:dyDescent="0.75">
      <c r="A323" t="s">
        <v>59</v>
      </c>
      <c r="B323" s="63">
        <f>Comparisons!G18</f>
        <v>3</v>
      </c>
      <c r="C323" s="12" t="s">
        <v>85</v>
      </c>
      <c r="D323" s="3"/>
      <c r="E323" t="s">
        <v>66</v>
      </c>
      <c r="F323" s="10">
        <f>B303*F320</f>
        <v>25.286625000000001</v>
      </c>
      <c r="G323" s="12" t="s">
        <v>80</v>
      </c>
      <c r="H323" s="5"/>
      <c r="I323" s="3"/>
      <c r="J323" s="4"/>
      <c r="K323" s="3"/>
      <c r="L323" s="3"/>
      <c r="M323" s="3"/>
      <c r="N323" s="3"/>
      <c r="O323" s="5"/>
      <c r="P323" s="3"/>
      <c r="Q323" s="5"/>
      <c r="R323" s="5"/>
      <c r="S323" s="5"/>
    </row>
    <row r="324" spans="1:19" x14ac:dyDescent="0.75">
      <c r="A324" s="21" t="s">
        <v>72</v>
      </c>
      <c r="B324" s="24">
        <f>B315*B320/100*B321*(1-B322/100)*(1-B323/100)</f>
        <v>154.18538000000001</v>
      </c>
      <c r="C324" s="13" t="s">
        <v>77</v>
      </c>
      <c r="D324" s="3"/>
      <c r="E324" t="s">
        <v>56</v>
      </c>
      <c r="F324" s="3">
        <f>F321+F322+F323</f>
        <v>81.323025000000001</v>
      </c>
      <c r="G324" s="12" t="s">
        <v>98</v>
      </c>
      <c r="H324" s="5"/>
      <c r="I324" s="3"/>
      <c r="J324" s="4"/>
      <c r="K324" s="3"/>
      <c r="L324" s="3"/>
      <c r="M324" s="3"/>
      <c r="N324" s="3"/>
      <c r="O324" s="5"/>
      <c r="P324" s="3"/>
      <c r="Q324" s="5"/>
      <c r="R324" s="5"/>
      <c r="S324" s="5"/>
    </row>
    <row r="325" spans="1:19" s="19" customFormat="1" x14ac:dyDescent="0.75">
      <c r="A325" s="22" t="s">
        <v>71</v>
      </c>
      <c r="B325" s="26">
        <f>B321*B320/100</f>
        <v>1.786</v>
      </c>
      <c r="C325" s="13" t="s">
        <v>96</v>
      </c>
      <c r="D325" s="16"/>
      <c r="E325" t="s">
        <v>57</v>
      </c>
      <c r="F325" s="5">
        <f>(F318*365)*(1-B320/100)+F324*B320/100</f>
        <v>80.306803500000001</v>
      </c>
      <c r="G325" s="12" t="s">
        <v>81</v>
      </c>
      <c r="H325" s="18"/>
      <c r="I325" s="16"/>
      <c r="J325" s="17"/>
      <c r="K325" s="16"/>
      <c r="L325" s="16"/>
      <c r="M325" s="16"/>
      <c r="N325" s="16"/>
      <c r="O325" s="18"/>
      <c r="P325" s="16"/>
      <c r="Q325" s="18"/>
      <c r="R325" s="18"/>
      <c r="S325" s="18"/>
    </row>
    <row r="326" spans="1:19" x14ac:dyDescent="0.75">
      <c r="A326" s="22" t="s">
        <v>70</v>
      </c>
      <c r="B326" s="26">
        <f>B320/100*B321*(1-B322/100)*(1-B323/100)</f>
        <v>1.5418537999999999</v>
      </c>
      <c r="C326" s="13" t="s">
        <v>97</v>
      </c>
      <c r="D326" s="3"/>
      <c r="E326" s="2" t="s">
        <v>58</v>
      </c>
      <c r="F326" s="26">
        <f>F325/B326</f>
        <v>52.084577344492715</v>
      </c>
      <c r="G326" s="13" t="s">
        <v>118</v>
      </c>
      <c r="H326" s="5"/>
      <c r="I326" s="3"/>
      <c r="J326" s="3"/>
      <c r="K326" s="3"/>
      <c r="L326" s="3"/>
      <c r="M326" s="3"/>
      <c r="N326" s="3"/>
      <c r="O326" s="5"/>
      <c r="P326" s="3"/>
      <c r="Q326" s="5"/>
      <c r="R326" s="5"/>
      <c r="S326" s="5"/>
    </row>
    <row r="327" spans="1:19" x14ac:dyDescent="0.75">
      <c r="B327" s="3"/>
      <c r="C327" s="3"/>
      <c r="D327" s="3"/>
      <c r="E327" s="3"/>
      <c r="F327" s="4"/>
      <c r="G327" s="3"/>
      <c r="H327" s="5"/>
      <c r="I327" s="3"/>
      <c r="J327" s="3"/>
      <c r="K327" s="3"/>
      <c r="L327" s="3"/>
      <c r="M327" s="3"/>
      <c r="N327" s="3"/>
      <c r="O327" s="5"/>
      <c r="P327" s="3"/>
      <c r="Q327" s="5"/>
      <c r="R327" s="5"/>
      <c r="S327" s="5"/>
    </row>
    <row r="328" spans="1:19" x14ac:dyDescent="0.75">
      <c r="A328" s="1" t="s">
        <v>83</v>
      </c>
      <c r="B328" s="3"/>
      <c r="C328" s="12"/>
      <c r="D328" s="3"/>
      <c r="E328" s="3"/>
      <c r="F328" s="4"/>
      <c r="G328" s="3"/>
      <c r="H328" s="4"/>
      <c r="I328" s="3"/>
      <c r="J328" s="5"/>
      <c r="K328" s="3"/>
      <c r="L328" s="3"/>
      <c r="M328" s="3"/>
      <c r="N328" s="3"/>
      <c r="O328" s="5"/>
      <c r="P328" s="3"/>
      <c r="Q328" s="5"/>
      <c r="R328" s="5"/>
      <c r="S328" s="5"/>
    </row>
    <row r="329" spans="1:19" x14ac:dyDescent="0.75">
      <c r="A329" t="s">
        <v>36</v>
      </c>
      <c r="B329" s="61">
        <f>Comparisons!G19</f>
        <v>10</v>
      </c>
      <c r="C329" s="12" t="s">
        <v>35</v>
      </c>
      <c r="D329" s="3"/>
      <c r="E329" s="3"/>
      <c r="F329" s="4"/>
      <c r="G329" s="3"/>
      <c r="H329" s="5"/>
      <c r="I329" s="3"/>
      <c r="J329" s="3"/>
      <c r="K329" s="3"/>
      <c r="L329" s="3"/>
      <c r="M329" s="3"/>
      <c r="N329" s="3"/>
      <c r="O329" s="5"/>
      <c r="P329" s="3"/>
      <c r="Q329" s="5"/>
      <c r="R329" s="5"/>
      <c r="S329" s="5"/>
    </row>
    <row r="330" spans="1:19" x14ac:dyDescent="0.75">
      <c r="A330" t="s">
        <v>34</v>
      </c>
      <c r="B330" s="63">
        <f>Comparisons!G20</f>
        <v>0.4</v>
      </c>
      <c r="C330" s="12" t="s">
        <v>99</v>
      </c>
      <c r="D330" s="3"/>
      <c r="E330" s="3"/>
      <c r="F330" s="4"/>
      <c r="G330" s="3"/>
      <c r="H330" s="5"/>
      <c r="I330" s="3"/>
      <c r="J330" s="3"/>
      <c r="K330" s="3"/>
      <c r="L330" s="3"/>
      <c r="M330" s="3"/>
      <c r="N330" s="3"/>
      <c r="O330" s="5"/>
      <c r="P330" s="3"/>
      <c r="Q330" s="5"/>
      <c r="R330" s="5"/>
      <c r="S330" s="5"/>
    </row>
    <row r="331" spans="1:19" x14ac:dyDescent="0.75">
      <c r="A331" t="s">
        <v>100</v>
      </c>
      <c r="B331" s="63">
        <f>Comparisons!G21</f>
        <v>2.25</v>
      </c>
      <c r="C331" s="12" t="s">
        <v>99</v>
      </c>
      <c r="D331" s="3"/>
      <c r="E331" s="3"/>
      <c r="F331" s="4"/>
      <c r="G331" s="3"/>
      <c r="H331" s="5"/>
      <c r="I331" s="3"/>
      <c r="J331" s="3"/>
      <c r="K331" s="3"/>
      <c r="L331" s="3"/>
      <c r="M331" s="3"/>
      <c r="N331" s="3"/>
      <c r="O331" s="5"/>
      <c r="P331" s="3"/>
      <c r="Q331" s="5"/>
      <c r="R331" s="5"/>
      <c r="S331" s="5"/>
    </row>
    <row r="332" spans="1:19" x14ac:dyDescent="0.75">
      <c r="A332" t="s">
        <v>67</v>
      </c>
      <c r="B332" s="63">
        <f>Comparisons!G22</f>
        <v>8</v>
      </c>
      <c r="C332" s="12" t="s">
        <v>80</v>
      </c>
      <c r="D332" s="3"/>
      <c r="E332" s="3"/>
      <c r="F332" s="4"/>
      <c r="G332" s="3"/>
      <c r="H332" s="5"/>
      <c r="I332" s="3"/>
      <c r="J332" s="3"/>
      <c r="K332" s="3"/>
      <c r="L332" s="3"/>
      <c r="M332" s="3"/>
      <c r="N332" s="3"/>
      <c r="O332" s="5"/>
      <c r="P332" s="3"/>
      <c r="Q332" s="5"/>
      <c r="R332" s="5"/>
      <c r="S332" s="5"/>
    </row>
    <row r="333" spans="1:19" x14ac:dyDescent="0.75">
      <c r="A333" t="s">
        <v>101</v>
      </c>
      <c r="B333" s="63">
        <f>Comparisons!G23</f>
        <v>3</v>
      </c>
      <c r="C333" s="12" t="s">
        <v>80</v>
      </c>
      <c r="D333" s="3"/>
      <c r="E333" s="3"/>
      <c r="F333" s="4"/>
      <c r="G333" s="3"/>
      <c r="H333" s="5"/>
      <c r="I333" s="3"/>
      <c r="J333" s="3"/>
      <c r="K333" s="3"/>
      <c r="L333" s="3"/>
      <c r="M333" s="3"/>
      <c r="N333" s="3"/>
      <c r="O333" s="5"/>
      <c r="P333" s="3"/>
      <c r="Q333" s="5"/>
      <c r="R333" s="5"/>
      <c r="S333" s="5"/>
    </row>
    <row r="334" spans="1:19" x14ac:dyDescent="0.75">
      <c r="A334" t="s">
        <v>37</v>
      </c>
      <c r="B334" s="5">
        <f>B331*B329+B330*B329*(B320/100)</f>
        <v>26.259999999999998</v>
      </c>
      <c r="C334" s="12" t="s">
        <v>81</v>
      </c>
      <c r="D334" s="3"/>
      <c r="E334" s="3"/>
      <c r="F334" s="4"/>
      <c r="G334" s="3"/>
      <c r="H334" s="5"/>
      <c r="I334" s="3"/>
      <c r="J334" s="3"/>
      <c r="K334" s="3"/>
      <c r="L334" s="3"/>
      <c r="M334" s="3"/>
      <c r="N334" s="3"/>
      <c r="O334" s="5"/>
      <c r="P334" s="3"/>
      <c r="Q334" s="5"/>
      <c r="R334" s="5"/>
      <c r="S334" s="5"/>
    </row>
    <row r="335" spans="1:19" x14ac:dyDescent="0.75">
      <c r="A335" t="s">
        <v>38</v>
      </c>
      <c r="B335" s="5">
        <f>B332*B320/100+B333*(1-B320/100)</f>
        <v>7.6999999999999993</v>
      </c>
      <c r="C335" s="12" t="s">
        <v>81</v>
      </c>
      <c r="D335" s="3"/>
      <c r="E335" s="3"/>
      <c r="F335" s="4"/>
      <c r="G335" s="3"/>
      <c r="H335" s="5"/>
      <c r="I335" s="3"/>
      <c r="J335" s="3"/>
      <c r="K335" s="3"/>
      <c r="L335" s="3"/>
      <c r="M335" s="3"/>
      <c r="N335" s="3"/>
      <c r="O335" s="5"/>
      <c r="P335" s="3"/>
      <c r="Q335" s="5"/>
      <c r="R335" s="5"/>
      <c r="S335" s="5"/>
    </row>
    <row r="336" spans="1:19" x14ac:dyDescent="0.75">
      <c r="A336" t="s">
        <v>68</v>
      </c>
      <c r="B336" s="5">
        <f>SUM(B334:B335)</f>
        <v>33.959999999999994</v>
      </c>
      <c r="C336" s="12" t="s">
        <v>81</v>
      </c>
      <c r="D336" s="3"/>
      <c r="E336" s="3"/>
      <c r="F336" s="4"/>
      <c r="G336" s="3"/>
      <c r="H336" s="5"/>
      <c r="I336" s="3"/>
      <c r="J336" s="3"/>
      <c r="K336" s="3"/>
      <c r="L336" s="3"/>
      <c r="M336" s="3"/>
      <c r="N336" s="3"/>
      <c r="O336" s="5"/>
      <c r="P336" s="3"/>
      <c r="Q336" s="5"/>
      <c r="R336" s="5"/>
      <c r="S336" s="5"/>
    </row>
    <row r="337" spans="1:19" s="2" customFormat="1" x14ac:dyDescent="0.75">
      <c r="A337" s="2" t="s">
        <v>39</v>
      </c>
      <c r="B337" s="26">
        <f>B336/B326</f>
        <v>22.025434577519604</v>
      </c>
      <c r="C337" s="13" t="s">
        <v>118</v>
      </c>
      <c r="D337" s="6"/>
      <c r="E337" s="6"/>
      <c r="F337" s="7"/>
      <c r="G337" s="6"/>
      <c r="H337" s="8"/>
      <c r="I337" s="6"/>
      <c r="J337" s="6"/>
      <c r="K337" s="6"/>
      <c r="L337" s="6"/>
      <c r="M337" s="6"/>
      <c r="N337" s="6"/>
      <c r="O337" s="8"/>
      <c r="P337" s="6"/>
      <c r="Q337" s="8"/>
      <c r="R337" s="8"/>
      <c r="S337" s="8"/>
    </row>
    <row r="338" spans="1:19" s="2" customFormat="1" x14ac:dyDescent="0.75">
      <c r="B338" s="29"/>
      <c r="C338" s="13"/>
      <c r="D338" s="6"/>
      <c r="E338" s="6"/>
      <c r="F338" s="7"/>
      <c r="G338" s="6"/>
      <c r="H338" s="8"/>
      <c r="I338" s="6"/>
      <c r="J338" s="6"/>
      <c r="K338" s="6"/>
      <c r="L338" s="6"/>
      <c r="M338" s="6"/>
      <c r="N338" s="6"/>
      <c r="O338" s="8"/>
      <c r="P338" s="6"/>
      <c r="Q338" s="8"/>
      <c r="R338" s="8"/>
      <c r="S338" s="8"/>
    </row>
    <row r="339" spans="1:19" s="2" customFormat="1" x14ac:dyDescent="0.75">
      <c r="A339" s="1" t="s">
        <v>103</v>
      </c>
      <c r="B339" s="29"/>
      <c r="C339" s="13"/>
      <c r="D339" s="6"/>
      <c r="E339" s="6"/>
      <c r="F339" s="7"/>
      <c r="G339" s="6"/>
      <c r="H339" s="8"/>
      <c r="I339" s="6"/>
      <c r="J339" s="6"/>
      <c r="K339" s="6"/>
      <c r="L339" s="6"/>
      <c r="M339" s="6"/>
      <c r="N339" s="6"/>
      <c r="O339" s="8"/>
      <c r="P339" s="6"/>
      <c r="Q339" s="8"/>
      <c r="R339" s="8"/>
      <c r="S339" s="8"/>
    </row>
    <row r="340" spans="1:19" s="2" customFormat="1" x14ac:dyDescent="0.75">
      <c r="A340" s="30" t="s">
        <v>104</v>
      </c>
      <c r="B340" s="33">
        <f>Comparisons!G24</f>
        <v>15</v>
      </c>
      <c r="C340" s="32" t="s">
        <v>105</v>
      </c>
      <c r="D340" s="6"/>
      <c r="E340" s="6"/>
      <c r="F340" s="7"/>
      <c r="G340" s="6"/>
      <c r="H340" s="8"/>
      <c r="I340" s="6"/>
      <c r="J340" s="6"/>
      <c r="K340" s="6"/>
      <c r="L340" s="6"/>
      <c r="M340" s="6"/>
      <c r="N340" s="6"/>
      <c r="O340" s="8"/>
      <c r="P340" s="6"/>
      <c r="Q340" s="8"/>
      <c r="R340" s="8"/>
      <c r="S340" s="8"/>
    </row>
    <row r="341" spans="1:19" s="2" customFormat="1" x14ac:dyDescent="0.75">
      <c r="A341" s="30" t="s">
        <v>106</v>
      </c>
      <c r="B341" s="33">
        <f>Comparisons!G25</f>
        <v>6.5000000000000002E-2</v>
      </c>
      <c r="C341" s="32" t="s">
        <v>52</v>
      </c>
      <c r="D341" s="6"/>
      <c r="E341" s="6"/>
      <c r="F341" s="7"/>
      <c r="G341" s="6"/>
      <c r="H341" s="8"/>
      <c r="I341" s="6"/>
      <c r="J341" s="6"/>
      <c r="K341" s="6"/>
      <c r="L341" s="6"/>
      <c r="M341" s="6"/>
      <c r="N341" s="6"/>
      <c r="O341" s="8"/>
      <c r="P341" s="6"/>
      <c r="Q341" s="8"/>
      <c r="R341" s="8"/>
      <c r="S341" s="8"/>
    </row>
    <row r="342" spans="1:19" s="2" customFormat="1" x14ac:dyDescent="0.75">
      <c r="A342" s="30" t="s">
        <v>110</v>
      </c>
      <c r="B342" s="33">
        <f>Comparisons!G26</f>
        <v>115</v>
      </c>
      <c r="C342" s="30" t="s">
        <v>54</v>
      </c>
      <c r="D342" s="6"/>
      <c r="E342" s="6"/>
      <c r="F342" s="7"/>
      <c r="G342" s="6"/>
      <c r="H342" s="8"/>
      <c r="I342" s="6"/>
      <c r="J342" s="6"/>
      <c r="K342" s="6"/>
      <c r="L342" s="6"/>
      <c r="M342" s="6"/>
      <c r="N342" s="6"/>
      <c r="O342" s="8"/>
      <c r="P342" s="6"/>
      <c r="Q342" s="8"/>
      <c r="R342" s="8"/>
      <c r="S342" s="8"/>
    </row>
    <row r="343" spans="1:19" s="2" customFormat="1" x14ac:dyDescent="0.75">
      <c r="A343" s="30" t="s">
        <v>107</v>
      </c>
      <c r="B343" s="33">
        <f>Comparisons!G27</f>
        <v>230</v>
      </c>
      <c r="C343" s="32" t="s">
        <v>10</v>
      </c>
      <c r="D343" s="6"/>
      <c r="E343" s="6"/>
      <c r="F343" s="7"/>
      <c r="G343" s="6"/>
      <c r="H343" s="8"/>
      <c r="I343" s="6"/>
      <c r="J343" s="6"/>
      <c r="K343" s="6"/>
      <c r="L343" s="6"/>
      <c r="M343" s="6"/>
      <c r="N343" s="6"/>
      <c r="O343" s="8"/>
      <c r="P343" s="6"/>
      <c r="Q343" s="8"/>
      <c r="R343" s="8"/>
      <c r="S343" s="8"/>
    </row>
    <row r="344" spans="1:19" s="2" customFormat="1" x14ac:dyDescent="0.75">
      <c r="A344" s="30" t="s">
        <v>108</v>
      </c>
      <c r="B344" s="31">
        <f>0.032*(B342-B302)/(LN(B342/B302)/(B343-B303))*B341</f>
        <v>26.317478616268733</v>
      </c>
      <c r="C344" s="32" t="s">
        <v>109</v>
      </c>
      <c r="D344" s="6"/>
      <c r="E344" s="6"/>
      <c r="F344" s="7"/>
      <c r="G344" s="6"/>
      <c r="H344" s="8"/>
      <c r="I344" s="6"/>
      <c r="J344" s="6"/>
      <c r="K344" s="6"/>
      <c r="L344" s="6"/>
      <c r="M344" s="6"/>
      <c r="N344" s="6"/>
      <c r="O344" s="8"/>
      <c r="P344" s="6"/>
      <c r="Q344" s="8"/>
      <c r="R344" s="8"/>
      <c r="S344" s="8"/>
    </row>
    <row r="345" spans="1:19" s="2" customFormat="1" x14ac:dyDescent="0.75">
      <c r="A345" s="41" t="s">
        <v>108</v>
      </c>
      <c r="B345" s="26">
        <f>B344*(B340/100)</f>
        <v>3.9476217924403096</v>
      </c>
      <c r="C345" s="13" t="s">
        <v>119</v>
      </c>
      <c r="D345" s="6"/>
      <c r="E345" s="6"/>
      <c r="F345" s="7"/>
      <c r="G345" s="6"/>
      <c r="H345" s="8"/>
      <c r="I345" s="6"/>
      <c r="J345" s="6"/>
      <c r="K345" s="6"/>
      <c r="L345" s="6"/>
      <c r="M345" s="6"/>
      <c r="N345" s="6"/>
      <c r="O345" s="8"/>
      <c r="P345" s="6"/>
      <c r="Q345" s="8"/>
      <c r="R345" s="8"/>
      <c r="S345" s="8"/>
    </row>
    <row r="346" spans="1:19" s="36" customFormat="1" x14ac:dyDescent="0.75">
      <c r="A346" s="41"/>
      <c r="B346" s="29"/>
      <c r="C346" s="37"/>
      <c r="D346" s="42"/>
      <c r="E346" s="42"/>
      <c r="F346" s="43"/>
      <c r="G346" s="42"/>
      <c r="H346" s="29"/>
      <c r="I346" s="42"/>
      <c r="J346" s="42"/>
      <c r="K346" s="42"/>
      <c r="L346" s="42"/>
      <c r="M346" s="42"/>
      <c r="N346" s="42"/>
      <c r="O346" s="29"/>
      <c r="P346" s="42"/>
      <c r="Q346" s="29"/>
      <c r="R346" s="29"/>
      <c r="S346" s="29"/>
    </row>
    <row r="347" spans="1:19" s="2" customFormat="1" x14ac:dyDescent="0.75">
      <c r="A347" s="40" t="s">
        <v>114</v>
      </c>
      <c r="B347" s="44">
        <f>Comparisons!G28</f>
        <v>10</v>
      </c>
      <c r="C347" s="32" t="s">
        <v>109</v>
      </c>
      <c r="D347" s="6"/>
      <c r="E347" s="6"/>
      <c r="F347" s="7"/>
      <c r="G347" s="6"/>
      <c r="H347" s="8"/>
      <c r="I347" s="6"/>
      <c r="J347" s="6"/>
      <c r="K347" s="6"/>
      <c r="L347" s="6"/>
      <c r="M347" s="6"/>
      <c r="N347" s="6"/>
      <c r="O347" s="8"/>
      <c r="P347" s="6"/>
      <c r="Q347" s="8"/>
      <c r="R347" s="8"/>
      <c r="S347" s="8"/>
    </row>
    <row r="348" spans="1:19" s="2" customFormat="1" x14ac:dyDescent="0.75">
      <c r="A348" s="41" t="s">
        <v>114</v>
      </c>
      <c r="B348" s="26">
        <f>B347*(B340/100)</f>
        <v>1.5</v>
      </c>
      <c r="C348" s="13" t="s">
        <v>119</v>
      </c>
      <c r="D348" s="6"/>
      <c r="E348" s="6"/>
      <c r="F348" s="7"/>
      <c r="G348" s="6"/>
      <c r="H348" s="8"/>
      <c r="I348" s="6"/>
      <c r="J348" s="6"/>
      <c r="K348" s="6"/>
      <c r="L348" s="6"/>
      <c r="M348" s="6"/>
      <c r="N348" s="6"/>
      <c r="O348" s="8"/>
      <c r="P348" s="6"/>
      <c r="Q348" s="8"/>
      <c r="R348" s="8"/>
      <c r="S348" s="8"/>
    </row>
    <row r="349" spans="1:19" s="2" customFormat="1" x14ac:dyDescent="0.75">
      <c r="A349" s="41"/>
      <c r="B349" s="29"/>
      <c r="C349" s="13"/>
      <c r="D349" s="6"/>
      <c r="E349" s="6"/>
      <c r="F349" s="7"/>
      <c r="G349" s="6"/>
      <c r="H349" s="8"/>
      <c r="I349" s="6"/>
      <c r="J349" s="6"/>
      <c r="K349" s="6"/>
      <c r="L349" s="6"/>
      <c r="M349" s="6"/>
      <c r="N349" s="6"/>
      <c r="O349" s="8"/>
      <c r="P349" s="6"/>
      <c r="Q349" s="8"/>
      <c r="R349" s="8"/>
      <c r="S349" s="8"/>
    </row>
    <row r="350" spans="1:19" s="2" customFormat="1" x14ac:dyDescent="0.75">
      <c r="A350" s="38" t="s">
        <v>111</v>
      </c>
      <c r="B350" s="34">
        <f>Comparisons!G29</f>
        <v>0.75</v>
      </c>
      <c r="C350" s="39" t="s">
        <v>112</v>
      </c>
      <c r="D350" s="6"/>
      <c r="E350" s="6"/>
      <c r="F350" s="7"/>
      <c r="G350" s="6"/>
      <c r="H350" s="8"/>
      <c r="I350" s="6"/>
      <c r="J350" s="6"/>
      <c r="K350" s="6"/>
      <c r="L350" s="6"/>
      <c r="M350" s="6"/>
      <c r="N350" s="6"/>
      <c r="O350" s="8"/>
      <c r="P350" s="6"/>
      <c r="Q350" s="8"/>
      <c r="R350" s="8"/>
      <c r="S350" s="8"/>
    </row>
    <row r="351" spans="1:19" s="2" customFormat="1" x14ac:dyDescent="0.75">
      <c r="A351" s="41" t="s">
        <v>113</v>
      </c>
      <c r="B351" s="45">
        <f>B350*B316*B340/100/B326</f>
        <v>12.768720354679543</v>
      </c>
      <c r="C351" s="13" t="s">
        <v>119</v>
      </c>
      <c r="D351" s="6"/>
      <c r="E351" s="6"/>
      <c r="F351" s="7"/>
      <c r="G351" s="6"/>
      <c r="H351" s="8"/>
      <c r="I351" s="6"/>
      <c r="J351" s="6"/>
      <c r="K351" s="6"/>
      <c r="L351" s="6"/>
      <c r="M351" s="6"/>
      <c r="N351" s="6"/>
      <c r="O351" s="8"/>
      <c r="P351" s="6"/>
      <c r="Q351" s="8"/>
      <c r="R351" s="8"/>
      <c r="S351" s="8"/>
    </row>
    <row r="353" spans="1:19" x14ac:dyDescent="0.75">
      <c r="A353" s="1" t="s">
        <v>88</v>
      </c>
      <c r="B353" s="3"/>
      <c r="C353" s="3"/>
      <c r="D353" s="90" t="s">
        <v>127</v>
      </c>
      <c r="E353" s="90"/>
      <c r="F353" s="90"/>
      <c r="G353" s="86" t="s">
        <v>123</v>
      </c>
      <c r="H353" s="86"/>
      <c r="I353" s="86"/>
      <c r="J353" s="86"/>
      <c r="K353" s="87" t="s">
        <v>124</v>
      </c>
      <c r="L353" s="88"/>
      <c r="M353" s="88"/>
      <c r="N353" s="88"/>
      <c r="O353" s="89"/>
      <c r="P353" s="91" t="s">
        <v>130</v>
      </c>
      <c r="Q353" s="92"/>
      <c r="R353" s="92"/>
      <c r="S353" s="93"/>
    </row>
    <row r="354" spans="1:19" x14ac:dyDescent="0.75">
      <c r="A354" s="3" t="s">
        <v>0</v>
      </c>
      <c r="B354" s="3" t="s">
        <v>40</v>
      </c>
      <c r="C354" s="3" t="s">
        <v>6</v>
      </c>
      <c r="D354" s="3" t="s">
        <v>3</v>
      </c>
      <c r="E354" s="3" t="s">
        <v>2</v>
      </c>
      <c r="F354" s="3" t="s">
        <v>5</v>
      </c>
      <c r="G354" s="3" t="s">
        <v>8</v>
      </c>
      <c r="H354" s="3" t="s">
        <v>69</v>
      </c>
      <c r="I354" s="3" t="s">
        <v>126</v>
      </c>
      <c r="J354" s="3" t="s">
        <v>125</v>
      </c>
      <c r="K354" s="3" t="s">
        <v>50</v>
      </c>
      <c r="L354" s="3" t="s">
        <v>22</v>
      </c>
      <c r="M354" s="3" t="s">
        <v>7</v>
      </c>
      <c r="N354" s="3" t="s">
        <v>51</v>
      </c>
      <c r="O354" s="3" t="s">
        <v>21</v>
      </c>
      <c r="P354" s="3" t="s">
        <v>8</v>
      </c>
      <c r="Q354" s="3" t="s">
        <v>69</v>
      </c>
      <c r="R354" s="3" t="s">
        <v>126</v>
      </c>
      <c r="S354" s="3" t="s">
        <v>125</v>
      </c>
    </row>
    <row r="355" spans="1:19" x14ac:dyDescent="0.75">
      <c r="A355" s="3" t="s">
        <v>24</v>
      </c>
      <c r="B355" s="3" t="s">
        <v>25</v>
      </c>
      <c r="C355" s="3" t="s">
        <v>10</v>
      </c>
      <c r="D355" s="3" t="s">
        <v>12</v>
      </c>
      <c r="E355" s="3" t="s">
        <v>17</v>
      </c>
      <c r="F355" s="3" t="s">
        <v>52</v>
      </c>
      <c r="G355" s="3" t="s">
        <v>23</v>
      </c>
      <c r="H355" s="3" t="s">
        <v>86</v>
      </c>
      <c r="I355" s="3" t="s">
        <v>23</v>
      </c>
      <c r="J355" s="3" t="s">
        <v>87</v>
      </c>
      <c r="K355" s="3" t="s">
        <v>76</v>
      </c>
      <c r="L355" s="3" t="s">
        <v>76</v>
      </c>
      <c r="M355" s="3" t="s">
        <v>23</v>
      </c>
      <c r="N355" s="3" t="s">
        <v>23</v>
      </c>
      <c r="O355" s="3" t="s">
        <v>25</v>
      </c>
      <c r="P355" s="3" t="s">
        <v>23</v>
      </c>
      <c r="Q355" s="3" t="s">
        <v>86</v>
      </c>
      <c r="R355" s="3" t="s">
        <v>23</v>
      </c>
      <c r="S355" s="3" t="s">
        <v>23</v>
      </c>
    </row>
    <row r="356" spans="1:19" x14ac:dyDescent="0.75">
      <c r="A356" s="5">
        <f>B302</f>
        <v>48</v>
      </c>
      <c r="B356" s="5">
        <f>A356/$B$316*100</f>
        <v>27.428571428571431</v>
      </c>
      <c r="C356" s="5">
        <f>B303</f>
        <v>65</v>
      </c>
      <c r="D356" s="67">
        <f>Finishing!D4</f>
        <v>0.7995812722283262</v>
      </c>
      <c r="E356" s="67">
        <f>Finishing!E4</f>
        <v>2.9890645053996687</v>
      </c>
      <c r="F356" s="67">
        <f>Finishing!F4</f>
        <v>0.115</v>
      </c>
      <c r="G356" s="68">
        <f>Finishing!G4</f>
        <v>0.85</v>
      </c>
      <c r="H356" s="68">
        <f>Finishing!H4</f>
        <v>0.3</v>
      </c>
      <c r="I356" s="68">
        <f>Finishing!I4</f>
        <v>1</v>
      </c>
      <c r="J356" s="68">
        <f>Finishing!J4</f>
        <v>2E-3</v>
      </c>
      <c r="K356" s="67">
        <f>Finishing!K4</f>
        <v>2</v>
      </c>
      <c r="L356" s="67">
        <f>Finishing!L4</f>
        <v>4</v>
      </c>
      <c r="M356" s="67">
        <f>Finishing!M4</f>
        <v>0</v>
      </c>
      <c r="N356" s="67">
        <f>Finishing!N4</f>
        <v>2</v>
      </c>
      <c r="O356" s="67">
        <f>Finishing!O4</f>
        <v>5</v>
      </c>
      <c r="P356" s="5">
        <f>G356</f>
        <v>0.85</v>
      </c>
      <c r="Q356" s="5">
        <f>H356</f>
        <v>0.3</v>
      </c>
      <c r="R356" s="5">
        <f>I356</f>
        <v>1</v>
      </c>
      <c r="S356" s="5">
        <f>J356*(C357-C356)*$B$329</f>
        <v>0.25013092095394712</v>
      </c>
    </row>
    <row r="357" spans="1:19" x14ac:dyDescent="0.75">
      <c r="A357" s="5">
        <f>A356+10</f>
        <v>58</v>
      </c>
      <c r="B357" s="5">
        <f t="shared" ref="B357:B370" si="71">A357/$B$316*100</f>
        <v>33.142857142857139</v>
      </c>
      <c r="C357" s="5">
        <f>C356+(A357-A356)/D356</f>
        <v>77.506546047697356</v>
      </c>
      <c r="D357" s="67">
        <f>Finishing!D5</f>
        <v>0.80548945537627681</v>
      </c>
      <c r="E357" s="67">
        <f>Finishing!E5</f>
        <v>3.4115902842158219</v>
      </c>
      <c r="F357" s="67">
        <f>Finishing!F5</f>
        <v>0.115</v>
      </c>
      <c r="G357" s="68">
        <f>Finishing!G5</f>
        <v>0</v>
      </c>
      <c r="H357" s="68">
        <f>Finishing!H5</f>
        <v>0.3</v>
      </c>
      <c r="I357" s="68">
        <f>Finishing!I5</f>
        <v>0.4</v>
      </c>
      <c r="J357" s="68">
        <f>Finishing!J5</f>
        <v>2E-3</v>
      </c>
      <c r="K357" s="67">
        <f>Finishing!K5</f>
        <v>2.1</v>
      </c>
      <c r="L357" s="67">
        <f>Finishing!L5</f>
        <v>4</v>
      </c>
      <c r="M357" s="67">
        <f>Finishing!M5</f>
        <v>0</v>
      </c>
      <c r="N357" s="67">
        <f>Finishing!N5</f>
        <v>2</v>
      </c>
      <c r="O357" s="67">
        <f>Finishing!O5</f>
        <v>5</v>
      </c>
      <c r="P357" s="5">
        <f>P356+G357</f>
        <v>0.85</v>
      </c>
      <c r="Q357" s="5">
        <f>H357+Q356</f>
        <v>0.6</v>
      </c>
      <c r="R357" s="5">
        <f>I357+R356</f>
        <v>1.4</v>
      </c>
      <c r="S357" s="5">
        <f>J357*(C358-C357)*$B$329+S356</f>
        <v>0.49842715706863572</v>
      </c>
    </row>
    <row r="358" spans="1:19" x14ac:dyDescent="0.75">
      <c r="A358" s="5">
        <f t="shared" ref="A358:A370" si="72">A357+10</f>
        <v>68</v>
      </c>
      <c r="B358" s="5">
        <f t="shared" si="71"/>
        <v>38.857142857142854</v>
      </c>
      <c r="C358" s="5">
        <f t="shared" ref="C358:C370" si="73">C357+(A358-A357)/D357</f>
        <v>89.921357853431786</v>
      </c>
      <c r="D358" s="67">
        <f>Finishing!D6</f>
        <v>0.77446414795503105</v>
      </c>
      <c r="E358" s="67">
        <f>Finishing!E6</f>
        <v>3.95886627947305</v>
      </c>
      <c r="F358" s="67">
        <f>Finishing!F6</f>
        <v>0.115</v>
      </c>
      <c r="G358" s="68">
        <f>Finishing!G6</f>
        <v>0</v>
      </c>
      <c r="H358" s="68">
        <f>Finishing!H6</f>
        <v>0.2</v>
      </c>
      <c r="I358" s="68">
        <f>Finishing!I6</f>
        <v>0.4</v>
      </c>
      <c r="J358" s="68">
        <f>Finishing!J6</f>
        <v>2E-3</v>
      </c>
      <c r="K358" s="67">
        <f>Finishing!K6</f>
        <v>2.2000000000000002</v>
      </c>
      <c r="L358" s="67">
        <f>Finishing!L6</f>
        <v>4.5</v>
      </c>
      <c r="M358" s="67">
        <f>Finishing!M6</f>
        <v>0</v>
      </c>
      <c r="N358" s="67">
        <f>Finishing!N6</f>
        <v>2</v>
      </c>
      <c r="O358" s="67">
        <f>Finishing!O6</f>
        <v>5</v>
      </c>
      <c r="P358" s="5">
        <f t="shared" ref="P358:P370" si="74">P357+G358</f>
        <v>0.85</v>
      </c>
      <c r="Q358" s="5">
        <f t="shared" ref="Q358:Q370" si="75">H358+Q357</f>
        <v>0.8</v>
      </c>
      <c r="R358" s="5">
        <f t="shared" ref="R358:R370" si="76">I358+R357</f>
        <v>1.7999999999999998</v>
      </c>
      <c r="S358" s="5">
        <f t="shared" ref="S358:S369" si="77">J358*(C359-C358)*$B$329+S357</f>
        <v>0.75667022813667562</v>
      </c>
    </row>
    <row r="359" spans="1:19" x14ac:dyDescent="0.75">
      <c r="A359" s="5">
        <f t="shared" si="72"/>
        <v>78</v>
      </c>
      <c r="B359" s="5">
        <f t="shared" si="71"/>
        <v>44.571428571428569</v>
      </c>
      <c r="C359" s="5">
        <f t="shared" si="73"/>
        <v>102.83351140683378</v>
      </c>
      <c r="D359" s="67">
        <f>Finishing!D7</f>
        <v>0.72062550635879374</v>
      </c>
      <c r="E359" s="67">
        <f>Finishing!E7</f>
        <v>4.6404130446293825</v>
      </c>
      <c r="F359" s="67">
        <f>Finishing!F7</f>
        <v>0.115</v>
      </c>
      <c r="G359" s="68">
        <f>Finishing!G7</f>
        <v>0</v>
      </c>
      <c r="H359" s="68">
        <f>Finishing!H7</f>
        <v>0.2</v>
      </c>
      <c r="I359" s="68">
        <f>Finishing!I7</f>
        <v>0.4</v>
      </c>
      <c r="J359" s="68">
        <f>Finishing!J7</f>
        <v>2E-3</v>
      </c>
      <c r="K359" s="67">
        <f>Finishing!K7</f>
        <v>2.2999999999999998</v>
      </c>
      <c r="L359" s="67">
        <f>Finishing!L7</f>
        <v>4.5</v>
      </c>
      <c r="M359" s="67">
        <f>Finishing!M7</f>
        <v>0</v>
      </c>
      <c r="N359" s="67">
        <f>Finishing!N7</f>
        <v>2</v>
      </c>
      <c r="O359" s="67">
        <f>Finishing!O7</f>
        <v>5</v>
      </c>
      <c r="P359" s="5">
        <f t="shared" si="74"/>
        <v>0.85</v>
      </c>
      <c r="Q359" s="5">
        <f t="shared" si="75"/>
        <v>1</v>
      </c>
      <c r="R359" s="5">
        <f t="shared" si="76"/>
        <v>2.1999999999999997</v>
      </c>
      <c r="S359" s="5">
        <f t="shared" si="77"/>
        <v>1.0342068934853228</v>
      </c>
    </row>
    <row r="360" spans="1:19" x14ac:dyDescent="0.75">
      <c r="A360" s="5">
        <f t="shared" si="72"/>
        <v>88</v>
      </c>
      <c r="B360" s="5">
        <f t="shared" si="71"/>
        <v>50.285714285714292</v>
      </c>
      <c r="C360" s="5">
        <f t="shared" si="73"/>
        <v>116.71034467426614</v>
      </c>
      <c r="D360" s="67">
        <f>Finishing!D8</f>
        <v>0.65537759149894059</v>
      </c>
      <c r="E360" s="67">
        <f>Finishing!E8</f>
        <v>5.4655515331359776</v>
      </c>
      <c r="F360" s="67">
        <f>Finishing!F8</f>
        <v>0.115</v>
      </c>
      <c r="G360" s="68">
        <f>Finishing!G8</f>
        <v>0</v>
      </c>
      <c r="H360" s="68">
        <f>Finishing!H8</f>
        <v>0.15</v>
      </c>
      <c r="I360" s="68">
        <f>Finishing!I8</f>
        <v>0.4</v>
      </c>
      <c r="J360" s="68">
        <f>Finishing!J8</f>
        <v>2E-3</v>
      </c>
      <c r="K360" s="67">
        <f>Finishing!K8</f>
        <v>2.4</v>
      </c>
      <c r="L360" s="67">
        <f>Finishing!L8</f>
        <v>5</v>
      </c>
      <c r="M360" s="67">
        <f>Finishing!M8</f>
        <v>0</v>
      </c>
      <c r="N360" s="67">
        <f>Finishing!N8</f>
        <v>2</v>
      </c>
      <c r="O360" s="67">
        <f>Finishing!O8</f>
        <v>4</v>
      </c>
      <c r="P360" s="5">
        <f t="shared" si="74"/>
        <v>0.85</v>
      </c>
      <c r="Q360" s="5">
        <f t="shared" si="75"/>
        <v>1.1499999999999999</v>
      </c>
      <c r="R360" s="5">
        <f t="shared" si="76"/>
        <v>2.5999999999999996</v>
      </c>
      <c r="S360" s="5">
        <f t="shared" si="77"/>
        <v>1.33937448327516</v>
      </c>
    </row>
    <row r="361" spans="1:19" x14ac:dyDescent="0.75">
      <c r="A361" s="5">
        <f t="shared" si="72"/>
        <v>98</v>
      </c>
      <c r="B361" s="5">
        <f t="shared" si="71"/>
        <v>56.000000000000007</v>
      </c>
      <c r="C361" s="5">
        <f t="shared" si="73"/>
        <v>131.968724163758</v>
      </c>
      <c r="D361" s="67">
        <f>Finishing!D9</f>
        <v>0.58663869534177293</v>
      </c>
      <c r="E361" s="67">
        <f>Finishing!E9</f>
        <v>6.4434890333952319</v>
      </c>
      <c r="F361" s="67">
        <f>Finishing!F9</f>
        <v>0.11</v>
      </c>
      <c r="G361" s="68">
        <f>Finishing!G9</f>
        <v>0</v>
      </c>
      <c r="H361" s="68">
        <f>Finishing!H9</f>
        <v>0.15</v>
      </c>
      <c r="I361" s="68">
        <f>Finishing!I9</f>
        <v>0.4</v>
      </c>
      <c r="J361" s="68">
        <f>Finishing!J9</f>
        <v>2E-3</v>
      </c>
      <c r="K361" s="67">
        <f>Finishing!K9</f>
        <v>2.5</v>
      </c>
      <c r="L361" s="67">
        <f>Finishing!L9</f>
        <v>5</v>
      </c>
      <c r="M361" s="67">
        <f>Finishing!M9</f>
        <v>0</v>
      </c>
      <c r="N361" s="67">
        <f>Finishing!N9</f>
        <v>2</v>
      </c>
      <c r="O361" s="67">
        <f>Finishing!O9</f>
        <v>4</v>
      </c>
      <c r="P361" s="5">
        <f t="shared" si="74"/>
        <v>0.85</v>
      </c>
      <c r="Q361" s="5">
        <f t="shared" si="75"/>
        <v>1.2999999999999998</v>
      </c>
      <c r="R361" s="5">
        <f t="shared" si="76"/>
        <v>2.9999999999999996</v>
      </c>
      <c r="S361" s="5">
        <f t="shared" si="77"/>
        <v>1.6802998289574476</v>
      </c>
    </row>
    <row r="362" spans="1:19" x14ac:dyDescent="0.75">
      <c r="A362" s="5">
        <f t="shared" si="72"/>
        <v>108</v>
      </c>
      <c r="B362" s="5">
        <f t="shared" si="71"/>
        <v>61.714285714285708</v>
      </c>
      <c r="C362" s="5">
        <f t="shared" si="73"/>
        <v>149.01499144787238</v>
      </c>
      <c r="D362" s="67">
        <f>Finishing!D10</f>
        <v>0.51923926932535602</v>
      </c>
      <c r="E362" s="67">
        <f>Finishing!E10</f>
        <v>7.5841721392078352</v>
      </c>
      <c r="F362" s="67">
        <f>Finishing!F10</f>
        <v>0.11</v>
      </c>
      <c r="G362" s="68">
        <f>Finishing!G10</f>
        <v>0.85</v>
      </c>
      <c r="H362" s="68">
        <f>Finishing!H10</f>
        <v>0.15</v>
      </c>
      <c r="I362" s="68">
        <f>Finishing!I10</f>
        <v>0.4</v>
      </c>
      <c r="J362" s="68">
        <f>Finishing!J10</f>
        <v>2E-3</v>
      </c>
      <c r="K362" s="67">
        <f>Finishing!K10</f>
        <v>2.6</v>
      </c>
      <c r="L362" s="67">
        <f>Finishing!L10</f>
        <v>5.5</v>
      </c>
      <c r="M362" s="67">
        <f>Finishing!M10</f>
        <v>0</v>
      </c>
      <c r="N362" s="67">
        <f>Finishing!N10</f>
        <v>2</v>
      </c>
      <c r="O362" s="67">
        <f>Finishing!O10</f>
        <v>4</v>
      </c>
      <c r="P362" s="5">
        <f t="shared" si="74"/>
        <v>1.7</v>
      </c>
      <c r="Q362" s="5">
        <f t="shared" si="75"/>
        <v>1.4499999999999997</v>
      </c>
      <c r="R362" s="5">
        <f t="shared" si="76"/>
        <v>3.3999999999999995</v>
      </c>
      <c r="S362" s="5">
        <f t="shared" si="77"/>
        <v>2.0654787085515478</v>
      </c>
    </row>
    <row r="363" spans="1:19" x14ac:dyDescent="0.75">
      <c r="A363" s="5">
        <f t="shared" si="72"/>
        <v>118</v>
      </c>
      <c r="B363" s="5">
        <f t="shared" si="71"/>
        <v>67.428571428571431</v>
      </c>
      <c r="C363" s="5">
        <f t="shared" si="73"/>
        <v>168.27393542757738</v>
      </c>
      <c r="D363" s="67">
        <f>Finishing!D11</f>
        <v>0.45573186334741117</v>
      </c>
      <c r="E363" s="67">
        <f>Finishing!E11</f>
        <v>8.8999701934557311</v>
      </c>
      <c r="F363" s="67">
        <f>Finishing!F11</f>
        <v>0.11</v>
      </c>
      <c r="G363" s="68">
        <f>Finishing!G11</f>
        <v>0</v>
      </c>
      <c r="H363" s="68">
        <f>Finishing!H11</f>
        <v>0.15</v>
      </c>
      <c r="I363" s="68">
        <f>Finishing!I11</f>
        <v>0.4</v>
      </c>
      <c r="J363" s="68">
        <f>Finishing!J11</f>
        <v>2E-3</v>
      </c>
      <c r="K363" s="67">
        <f>Finishing!K11</f>
        <v>2.7</v>
      </c>
      <c r="L363" s="67">
        <f>Finishing!L11</f>
        <v>5.5</v>
      </c>
      <c r="M363" s="67">
        <f>Finishing!M11</f>
        <v>0</v>
      </c>
      <c r="N363" s="67">
        <f>Finishing!N11</f>
        <v>2</v>
      </c>
      <c r="O363" s="67">
        <f>Finishing!O11</f>
        <v>4</v>
      </c>
      <c r="P363" s="5">
        <f t="shared" si="74"/>
        <v>1.7</v>
      </c>
      <c r="Q363" s="5">
        <f t="shared" si="75"/>
        <v>1.5999999999999996</v>
      </c>
      <c r="R363" s="5">
        <f t="shared" si="76"/>
        <v>3.7999999999999994</v>
      </c>
      <c r="S363" s="5">
        <f t="shared" si="77"/>
        <v>2.5043332545799371</v>
      </c>
    </row>
    <row r="364" spans="1:19" x14ac:dyDescent="0.75">
      <c r="A364" s="5">
        <f t="shared" si="72"/>
        <v>128</v>
      </c>
      <c r="B364" s="5">
        <f t="shared" si="71"/>
        <v>73.142857142857139</v>
      </c>
      <c r="C364" s="5">
        <f t="shared" si="73"/>
        <v>190.21666272899685</v>
      </c>
      <c r="D364" s="67">
        <f>Finishing!D12</f>
        <v>0.39717641305340173</v>
      </c>
      <c r="E364" s="67">
        <f>Finishing!E12</f>
        <v>10.408473071748519</v>
      </c>
      <c r="F364" s="67">
        <f>Finishing!F12</f>
        <v>0.11</v>
      </c>
      <c r="G364" s="68">
        <f>Finishing!G12</f>
        <v>0</v>
      </c>
      <c r="H364" s="68">
        <f>Finishing!H12</f>
        <v>0.15</v>
      </c>
      <c r="I364" s="68">
        <f>Finishing!I12</f>
        <v>0.4</v>
      </c>
      <c r="J364" s="68">
        <f>Finishing!J12</f>
        <v>2E-3</v>
      </c>
      <c r="K364" s="67">
        <f>Finishing!K12</f>
        <v>2.8</v>
      </c>
      <c r="L364" s="67">
        <f>Finishing!L12</f>
        <v>6</v>
      </c>
      <c r="M364" s="67">
        <f>Finishing!M12</f>
        <v>0</v>
      </c>
      <c r="N364" s="67">
        <f>Finishing!N12</f>
        <v>2</v>
      </c>
      <c r="O364" s="67">
        <f>Finishing!O12</f>
        <v>4</v>
      </c>
      <c r="P364" s="5">
        <f t="shared" si="74"/>
        <v>1.7</v>
      </c>
      <c r="Q364" s="5">
        <f t="shared" si="75"/>
        <v>1.7499999999999996</v>
      </c>
      <c r="R364" s="5">
        <f t="shared" si="76"/>
        <v>4.1999999999999993</v>
      </c>
      <c r="S364" s="5">
        <f t="shared" si="77"/>
        <v>3.0078878298943312</v>
      </c>
    </row>
    <row r="365" spans="1:19" x14ac:dyDescent="0.75">
      <c r="A365" s="5">
        <f t="shared" si="72"/>
        <v>138</v>
      </c>
      <c r="B365" s="5">
        <f t="shared" si="71"/>
        <v>78.857142857142861</v>
      </c>
      <c r="C365" s="5">
        <f t="shared" si="73"/>
        <v>215.39439149471656</v>
      </c>
      <c r="D365" s="67">
        <f>Finishing!D13</f>
        <v>0.34374155492040259</v>
      </c>
      <c r="E365" s="67">
        <f>Finishing!E13</f>
        <v>12.137025449151981</v>
      </c>
      <c r="F365" s="67">
        <f>Finishing!F13</f>
        <v>0.11</v>
      </c>
      <c r="G365" s="68">
        <f>Finishing!G13</f>
        <v>0</v>
      </c>
      <c r="H365" s="68">
        <f>Finishing!H13</f>
        <v>0.15</v>
      </c>
      <c r="I365" s="68">
        <f>Finishing!I13</f>
        <v>0.4</v>
      </c>
      <c r="J365" s="68">
        <f>Finishing!J13</f>
        <v>2E-3</v>
      </c>
      <c r="K365" s="67">
        <f>Finishing!K13</f>
        <v>2.9</v>
      </c>
      <c r="L365" s="67">
        <f>Finishing!L13</f>
        <v>6</v>
      </c>
      <c r="M365" s="67">
        <f>Finishing!M13</f>
        <v>0</v>
      </c>
      <c r="N365" s="67">
        <f>Finishing!N13</f>
        <v>2.75</v>
      </c>
      <c r="O365" s="67">
        <f>Finishing!O13</f>
        <v>3</v>
      </c>
      <c r="P365" s="5">
        <f t="shared" si="74"/>
        <v>1.7</v>
      </c>
      <c r="Q365" s="5">
        <f t="shared" si="75"/>
        <v>1.8999999999999995</v>
      </c>
      <c r="R365" s="5">
        <f t="shared" si="76"/>
        <v>4.5999999999999996</v>
      </c>
      <c r="S365" s="5">
        <f t="shared" si="77"/>
        <v>3.5897203058843594</v>
      </c>
    </row>
    <row r="366" spans="1:19" x14ac:dyDescent="0.75">
      <c r="A366" s="5">
        <f t="shared" si="72"/>
        <v>148</v>
      </c>
      <c r="B366" s="5">
        <f t="shared" si="71"/>
        <v>84.571428571428569</v>
      </c>
      <c r="C366" s="5">
        <f t="shared" si="73"/>
        <v>244.48601529421796</v>
      </c>
      <c r="D366" s="67">
        <f>Finishing!D14</f>
        <v>0.29511059472295603</v>
      </c>
      <c r="E366" s="67">
        <f>Finishing!E14</f>
        <v>14.130295809659806</v>
      </c>
      <c r="F366" s="67">
        <f>Finishing!F14</f>
        <v>0.11</v>
      </c>
      <c r="G366" s="68">
        <f>Finishing!G14</f>
        <v>0</v>
      </c>
      <c r="H366" s="68">
        <f>Finishing!H14</f>
        <v>0.15</v>
      </c>
      <c r="I366" s="68">
        <f>Finishing!I14</f>
        <v>0.4</v>
      </c>
      <c r="J366" s="68">
        <f>Finishing!J14</f>
        <v>2E-3</v>
      </c>
      <c r="K366" s="67">
        <f>Finishing!K14</f>
        <v>3</v>
      </c>
      <c r="L366" s="67">
        <f>Finishing!L14</f>
        <v>6.5</v>
      </c>
      <c r="M366" s="67">
        <f>Finishing!M14</f>
        <v>3.5</v>
      </c>
      <c r="N366" s="67">
        <f>Finishing!N14</f>
        <v>2.75</v>
      </c>
      <c r="O366" s="67">
        <f>Finishing!O14</f>
        <v>3</v>
      </c>
      <c r="P366" s="5">
        <f t="shared" si="74"/>
        <v>1.7</v>
      </c>
      <c r="Q366" s="5">
        <f t="shared" si="75"/>
        <v>2.0499999999999994</v>
      </c>
      <c r="R366" s="5">
        <f t="shared" si="76"/>
        <v>5</v>
      </c>
      <c r="S366" s="5">
        <f t="shared" si="77"/>
        <v>4.2674323351246386</v>
      </c>
    </row>
    <row r="367" spans="1:19" x14ac:dyDescent="0.75">
      <c r="A367" s="5">
        <f t="shared" si="72"/>
        <v>158</v>
      </c>
      <c r="B367" s="5">
        <f t="shared" si="71"/>
        <v>90.285714285714278</v>
      </c>
      <c r="C367" s="5">
        <f t="shared" si="73"/>
        <v>278.3716167562319</v>
      </c>
      <c r="D367" s="67">
        <f>Finishing!D15</f>
        <v>0.25073374395891568</v>
      </c>
      <c r="E367" s="67">
        <f>Finishing!E15</f>
        <v>16.463679498505787</v>
      </c>
      <c r="F367" s="67">
        <f>Finishing!F15</f>
        <v>0.11</v>
      </c>
      <c r="G367" s="68">
        <f>Finishing!G15</f>
        <v>0</v>
      </c>
      <c r="H367" s="68">
        <f>Finishing!H15</f>
        <v>0.15</v>
      </c>
      <c r="I367" s="68">
        <f>Finishing!I15</f>
        <v>0.4</v>
      </c>
      <c r="J367" s="68">
        <f>Finishing!J15</f>
        <v>2E-3</v>
      </c>
      <c r="K367" s="67">
        <f>Finishing!K15</f>
        <v>3.1</v>
      </c>
      <c r="L367" s="67">
        <f>Finishing!L15</f>
        <v>6.5</v>
      </c>
      <c r="M367" s="67">
        <f>Finishing!M15</f>
        <v>3.5</v>
      </c>
      <c r="N367" s="67">
        <f>Finishing!N15</f>
        <v>2.75</v>
      </c>
      <c r="O367" s="67">
        <f>Finishing!O15</f>
        <v>3</v>
      </c>
      <c r="P367" s="5">
        <f t="shared" si="74"/>
        <v>1.7</v>
      </c>
      <c r="Q367" s="5">
        <f t="shared" si="75"/>
        <v>2.1999999999999993</v>
      </c>
      <c r="R367" s="5">
        <f t="shared" si="76"/>
        <v>5.4</v>
      </c>
      <c r="S367" s="5">
        <f t="shared" si="77"/>
        <v>5.0650912255561211</v>
      </c>
    </row>
    <row r="368" spans="1:19" x14ac:dyDescent="0.75">
      <c r="A368" s="5">
        <f t="shared" si="72"/>
        <v>168</v>
      </c>
      <c r="B368" s="5">
        <f t="shared" si="71"/>
        <v>96</v>
      </c>
      <c r="C368" s="5">
        <f t="shared" si="73"/>
        <v>318.25456127780603</v>
      </c>
      <c r="D368" s="67">
        <f>Finishing!D16</f>
        <v>0.20997477820430568</v>
      </c>
      <c r="E368" s="67">
        <f>Finishing!E16</f>
        <v>19.268980944288639</v>
      </c>
      <c r="F368" s="67">
        <f>Finishing!F16</f>
        <v>0.11</v>
      </c>
      <c r="G368" s="68">
        <f>Finishing!G16</f>
        <v>0</v>
      </c>
      <c r="H368" s="68">
        <f>Finishing!H16</f>
        <v>0.15</v>
      </c>
      <c r="I368" s="68">
        <f>Finishing!I16</f>
        <v>0.4</v>
      </c>
      <c r="J368" s="68">
        <f>Finishing!J16</f>
        <v>2E-3</v>
      </c>
      <c r="K368" s="67">
        <f>Finishing!K16</f>
        <v>3.2</v>
      </c>
      <c r="L368" s="67">
        <f>Finishing!L16</f>
        <v>6</v>
      </c>
      <c r="M368" s="67">
        <f>Finishing!M16</f>
        <v>3.5</v>
      </c>
      <c r="N368" s="67">
        <f>Finishing!N16</f>
        <v>2.75</v>
      </c>
      <c r="O368" s="67">
        <f>Finishing!O16</f>
        <v>3</v>
      </c>
      <c r="P368" s="5">
        <f t="shared" si="74"/>
        <v>1.7</v>
      </c>
      <c r="Q368" s="5">
        <f t="shared" si="75"/>
        <v>2.3499999999999992</v>
      </c>
      <c r="R368" s="5">
        <f t="shared" si="76"/>
        <v>5.8000000000000007</v>
      </c>
      <c r="S368" s="5">
        <f t="shared" si="77"/>
        <v>6.017586576237715</v>
      </c>
    </row>
    <row r="369" spans="1:19" x14ac:dyDescent="0.75">
      <c r="A369" s="5">
        <f t="shared" si="72"/>
        <v>178</v>
      </c>
      <c r="B369" s="5">
        <f t="shared" si="71"/>
        <v>101.71428571428571</v>
      </c>
      <c r="C369" s="5">
        <f t="shared" si="73"/>
        <v>365.87932881188573</v>
      </c>
      <c r="D369" s="67">
        <f>Finishing!D17</f>
        <v>0</v>
      </c>
      <c r="E369" s="67">
        <f>Finishing!E17</f>
        <v>0</v>
      </c>
      <c r="F369" s="67">
        <f>Finishing!F17</f>
        <v>0.11</v>
      </c>
      <c r="G369" s="68">
        <f>Finishing!G17</f>
        <v>0</v>
      </c>
      <c r="H369" s="68">
        <f>Finishing!H17</f>
        <v>0.15</v>
      </c>
      <c r="I369" s="68">
        <f>Finishing!I17</f>
        <v>0.4</v>
      </c>
      <c r="J369" s="68">
        <f>Finishing!J17</f>
        <v>2E-3</v>
      </c>
      <c r="K369" s="67">
        <f>Finishing!K17</f>
        <v>3.3</v>
      </c>
      <c r="L369" s="67">
        <f>Finishing!L17</f>
        <v>6</v>
      </c>
      <c r="M369" s="67">
        <f>Finishing!M17</f>
        <v>3.5</v>
      </c>
      <c r="N369" s="67">
        <f>Finishing!N17</f>
        <v>2.75</v>
      </c>
      <c r="O369" s="67">
        <f>Finishing!O17</f>
        <v>3</v>
      </c>
      <c r="P369" s="5">
        <f t="shared" si="74"/>
        <v>1.7</v>
      </c>
      <c r="Q369" s="5">
        <f t="shared" si="75"/>
        <v>2.4999999999999991</v>
      </c>
      <c r="R369" s="5">
        <f t="shared" si="76"/>
        <v>6.2000000000000011</v>
      </c>
      <c r="S369" s="5" t="e">
        <f t="shared" si="77"/>
        <v>#DIV/0!</v>
      </c>
    </row>
    <row r="370" spans="1:19" x14ac:dyDescent="0.75">
      <c r="A370" s="5">
        <f t="shared" si="72"/>
        <v>188</v>
      </c>
      <c r="B370" s="5">
        <f t="shared" si="71"/>
        <v>107.42857142857143</v>
      </c>
      <c r="C370" s="5" t="e">
        <f t="shared" si="73"/>
        <v>#DIV/0!</v>
      </c>
      <c r="D370" s="67">
        <f>Finishing!D18</f>
        <v>0</v>
      </c>
      <c r="E370" s="67">
        <f>Finishing!E18</f>
        <v>0</v>
      </c>
      <c r="F370" s="67">
        <f>Finishing!F18</f>
        <v>0.11</v>
      </c>
      <c r="G370" s="68">
        <f>Finishing!G18</f>
        <v>0</v>
      </c>
      <c r="H370" s="68">
        <f>Finishing!H18</f>
        <v>0.15</v>
      </c>
      <c r="I370" s="68">
        <f>Finishing!I18</f>
        <v>0.4</v>
      </c>
      <c r="J370" s="68">
        <f>Finishing!J18</f>
        <v>2E-3</v>
      </c>
      <c r="K370" s="67">
        <f>Finishing!K18</f>
        <v>3.4</v>
      </c>
      <c r="L370" s="67">
        <f>Finishing!L18</f>
        <v>6</v>
      </c>
      <c r="M370" s="67">
        <f>Finishing!M18</f>
        <v>3.5</v>
      </c>
      <c r="N370" s="67">
        <f>Finishing!N18</f>
        <v>2.75</v>
      </c>
      <c r="O370" s="67">
        <f>Finishing!O18</f>
        <v>3</v>
      </c>
      <c r="P370" s="5">
        <f t="shared" si="74"/>
        <v>1.7</v>
      </c>
      <c r="Q370" s="5">
        <f t="shared" si="75"/>
        <v>2.649999999999999</v>
      </c>
      <c r="R370" s="5">
        <f t="shared" si="76"/>
        <v>6.6000000000000014</v>
      </c>
      <c r="S370" s="5" t="e">
        <f>J370*(C370-C369)*$B$329+S369</f>
        <v>#DIV/0!</v>
      </c>
    </row>
    <row r="372" spans="1:19" x14ac:dyDescent="0.75">
      <c r="A372" s="1" t="s">
        <v>89</v>
      </c>
      <c r="B372" s="3"/>
      <c r="C372" s="3"/>
      <c r="D372" s="3"/>
      <c r="E372" s="3"/>
      <c r="F372" s="4"/>
      <c r="G372" s="3"/>
      <c r="H372" s="5"/>
      <c r="I372" s="3"/>
      <c r="J372" s="3" t="s">
        <v>128</v>
      </c>
      <c r="K372" s="3"/>
      <c r="L372" s="3"/>
      <c r="M372" s="3"/>
      <c r="N372" s="3"/>
      <c r="O372" s="5"/>
      <c r="P372" s="3"/>
      <c r="Q372" s="5"/>
      <c r="R372" s="5"/>
      <c r="S372" s="5"/>
    </row>
    <row r="373" spans="1:19" x14ac:dyDescent="0.75">
      <c r="A373" s="3" t="s">
        <v>0</v>
      </c>
      <c r="B373" s="3" t="s">
        <v>1</v>
      </c>
      <c r="C373" s="3" t="s">
        <v>90</v>
      </c>
      <c r="D373" s="3" t="s">
        <v>90</v>
      </c>
      <c r="E373" s="3" t="s">
        <v>91</v>
      </c>
      <c r="F373" s="3" t="s">
        <v>91</v>
      </c>
      <c r="G373" s="3" t="s">
        <v>92</v>
      </c>
      <c r="H373" s="3" t="s">
        <v>4</v>
      </c>
      <c r="I373" s="4" t="s">
        <v>5</v>
      </c>
      <c r="J373" s="3" t="s">
        <v>5</v>
      </c>
      <c r="K373" s="5" t="s">
        <v>129</v>
      </c>
      <c r="L373" s="3" t="s">
        <v>20</v>
      </c>
      <c r="M373" s="3" t="s">
        <v>122</v>
      </c>
      <c r="N373" s="3" t="s">
        <v>94</v>
      </c>
      <c r="O373" s="3" t="s">
        <v>95</v>
      </c>
      <c r="P373" s="5" t="s">
        <v>115</v>
      </c>
      <c r="Q373" s="5" t="s">
        <v>116</v>
      </c>
      <c r="R373" s="5" t="s">
        <v>113</v>
      </c>
      <c r="S373" s="5"/>
    </row>
    <row r="374" spans="1:19" x14ac:dyDescent="0.75">
      <c r="A374" s="3" t="s">
        <v>24</v>
      </c>
      <c r="B374" s="3" t="s">
        <v>11</v>
      </c>
      <c r="C374" s="3" t="s">
        <v>76</v>
      </c>
      <c r="D374" s="3" t="s">
        <v>174</v>
      </c>
      <c r="E374" s="3" t="s">
        <v>76</v>
      </c>
      <c r="F374" s="3" t="s">
        <v>93</v>
      </c>
      <c r="G374" s="3" t="s">
        <v>76</v>
      </c>
      <c r="H374" s="3" t="s">
        <v>73</v>
      </c>
      <c r="I374" s="4" t="s">
        <v>74</v>
      </c>
      <c r="J374" s="3" t="s">
        <v>75</v>
      </c>
      <c r="K374" s="5" t="s">
        <v>76</v>
      </c>
      <c r="L374" s="3" t="s">
        <v>76</v>
      </c>
      <c r="M374" s="3" t="s">
        <v>76</v>
      </c>
      <c r="N374" s="3" t="s">
        <v>120</v>
      </c>
      <c r="O374" s="3" t="s">
        <v>121</v>
      </c>
      <c r="P374" s="3" t="s">
        <v>117</v>
      </c>
      <c r="Q374" s="3" t="s">
        <v>117</v>
      </c>
      <c r="R374" s="3" t="s">
        <v>117</v>
      </c>
      <c r="S374" s="5"/>
    </row>
    <row r="375" spans="1:19" x14ac:dyDescent="0.75">
      <c r="A375" s="11">
        <f>B302</f>
        <v>48</v>
      </c>
      <c r="B375" s="15">
        <f>Comparisons!G31</f>
        <v>2.4</v>
      </c>
      <c r="C375" s="48">
        <f t="shared" ref="C375:C389" si="78">G375-E375-F375</f>
        <v>20.693848396157637</v>
      </c>
      <c r="D375" s="48">
        <f>C375*$B$326*(1-Q356/100)</f>
        <v>31.811168119880836</v>
      </c>
      <c r="E375" s="49">
        <f t="shared" ref="E375:E389" si="79">K375+M375+P356+R356+S356+K356+L356+M356+(N375+O375+P375+Q375)</f>
        <v>105.47077123681372</v>
      </c>
      <c r="F375" s="49">
        <f t="shared" ref="F375:F389" si="80">(K375+P356+R356+S356+M356+(N375+O375+P375+Q375))*(Q356/100)</f>
        <v>0.29740431371044118</v>
      </c>
      <c r="G375" s="49">
        <f t="shared" ref="G375:G389" si="81">L375+N356+R375</f>
        <v>126.4620239466818</v>
      </c>
      <c r="H375" s="5">
        <f t="shared" ref="H375:H389" si="82">D356*E356</f>
        <v>2.3899999999999997</v>
      </c>
      <c r="I375" s="5">
        <f t="shared" ref="I375:I389" si="83">H375*F356</f>
        <v>0.27484999999999998</v>
      </c>
      <c r="J375" s="5">
        <f t="shared" ref="J375:J388" si="84">I375*(C357-C356)</f>
        <v>3.437424181209618</v>
      </c>
      <c r="K375" s="5">
        <f>$B$212+J375</f>
        <v>3.437424181209618</v>
      </c>
      <c r="L375" s="5">
        <f>A375*(1-O356/100)*B375</f>
        <v>109.43999999999998</v>
      </c>
      <c r="M375" s="5">
        <f t="shared" ref="M375:M389" si="85">0.007*A375</f>
        <v>0.33600000000000002</v>
      </c>
      <c r="N375" s="5">
        <f>$F$326/(1-$B$340/100)</f>
        <v>61.275973346462017</v>
      </c>
      <c r="O375" s="5">
        <f>$B$337/(1-$B$340/100)</f>
        <v>25.912275973552475</v>
      </c>
      <c r="P375" s="5">
        <f>$B$345/(1-$B$340/100)</f>
        <v>4.6442609322827177</v>
      </c>
      <c r="Q375" s="5">
        <f>$B$348/(1-$B$340/100)</f>
        <v>1.7647058823529411</v>
      </c>
      <c r="R375" s="5">
        <f>$B$351/(1-$B$340/100)</f>
        <v>15.022023946681815</v>
      </c>
      <c r="S375" s="5"/>
    </row>
    <row r="376" spans="1:19" x14ac:dyDescent="0.75">
      <c r="A376" s="11">
        <f>A375+10</f>
        <v>58</v>
      </c>
      <c r="B376" s="15">
        <f>Comparisons!G32</f>
        <v>2.2999999999999998</v>
      </c>
      <c r="C376" s="48">
        <f t="shared" si="78"/>
        <v>32.917389269106529</v>
      </c>
      <c r="D376" s="48">
        <f t="shared" ref="D376:D389" si="86">C376*$B$326*(1-Q357/100)</f>
        <v>50.449278920267211</v>
      </c>
      <c r="E376" s="49">
        <f t="shared" si="79"/>
        <v>110.2123962997766</v>
      </c>
      <c r="F376" s="49">
        <f t="shared" si="80"/>
        <v>0.62223837779865965</v>
      </c>
      <c r="G376" s="49">
        <f t="shared" si="81"/>
        <v>143.75202394668179</v>
      </c>
      <c r="H376" s="5">
        <f t="shared" si="82"/>
        <v>2.7479999999999998</v>
      </c>
      <c r="I376" s="5">
        <f t="shared" si="83"/>
        <v>0.31601999999999997</v>
      </c>
      <c r="J376" s="5">
        <f t="shared" si="84"/>
        <v>3.9233288268481945</v>
      </c>
      <c r="K376" s="5">
        <f>K375+J376</f>
        <v>7.360753008057813</v>
      </c>
      <c r="L376" s="5">
        <f>A376*(1-O357/100)*B376</f>
        <v>126.72999999999998</v>
      </c>
      <c r="M376" s="5">
        <f t="shared" si="85"/>
        <v>0.40600000000000003</v>
      </c>
      <c r="N376" s="5">
        <f t="shared" ref="N376:N389" si="87">$F$326/(1-$B$340/100)</f>
        <v>61.275973346462017</v>
      </c>
      <c r="O376" s="5">
        <f t="shared" ref="O376:O389" si="88">$B$337/(1-$B$340/100)</f>
        <v>25.912275973552475</v>
      </c>
      <c r="P376" s="5">
        <f t="shared" ref="P376:P389" si="89">$B$345/(1-$B$340/100)</f>
        <v>4.6442609322827177</v>
      </c>
      <c r="Q376" s="5">
        <f t="shared" ref="Q376:Q389" si="90">$B$348/(1-$B$340/100)</f>
        <v>1.7647058823529411</v>
      </c>
      <c r="R376" s="5">
        <f t="shared" ref="R376:R389" si="91">$B$351/(1-$B$340/100)</f>
        <v>15.022023946681815</v>
      </c>
      <c r="S376" s="5"/>
    </row>
    <row r="377" spans="1:19" x14ac:dyDescent="0.75">
      <c r="A377" s="11">
        <f t="shared" ref="A377:A389" si="92">A376+10</f>
        <v>68</v>
      </c>
      <c r="B377" s="15">
        <f>Comparisons!G33</f>
        <v>2.25</v>
      </c>
      <c r="C377" s="48">
        <f t="shared" si="78"/>
        <v>45.407349669705269</v>
      </c>
      <c r="D377" s="48">
        <f t="shared" si="86"/>
        <v>69.451402679074505</v>
      </c>
      <c r="E377" s="49">
        <f t="shared" si="79"/>
        <v>116.09333559223865</v>
      </c>
      <c r="F377" s="49">
        <f t="shared" si="80"/>
        <v>0.87133868473790921</v>
      </c>
      <c r="G377" s="49">
        <f t="shared" si="81"/>
        <v>162.37202394668182</v>
      </c>
      <c r="H377" s="5">
        <f t="shared" si="82"/>
        <v>3.0659999999999994</v>
      </c>
      <c r="I377" s="5">
        <f t="shared" si="83"/>
        <v>0.35258999999999996</v>
      </c>
      <c r="J377" s="5">
        <f t="shared" si="84"/>
        <v>4.5526962213940081</v>
      </c>
      <c r="K377" s="5">
        <f t="shared" ref="K377:K389" si="93">K376+J377</f>
        <v>11.913449229451821</v>
      </c>
      <c r="L377" s="5">
        <f>A377*(1-Finishing!O6/100)*B377</f>
        <v>145.35</v>
      </c>
      <c r="M377" s="5">
        <f t="shared" si="85"/>
        <v>0.47600000000000003</v>
      </c>
      <c r="N377" s="5">
        <f t="shared" si="87"/>
        <v>61.275973346462017</v>
      </c>
      <c r="O377" s="5">
        <f t="shared" si="88"/>
        <v>25.912275973552475</v>
      </c>
      <c r="P377" s="5">
        <f t="shared" si="89"/>
        <v>4.6442609322827177</v>
      </c>
      <c r="Q377" s="5">
        <f t="shared" si="90"/>
        <v>1.7647058823529411</v>
      </c>
      <c r="R377" s="5">
        <f t="shared" si="91"/>
        <v>15.022023946681815</v>
      </c>
      <c r="S377" s="5"/>
    </row>
    <row r="378" spans="1:19" x14ac:dyDescent="0.75">
      <c r="A378" s="11">
        <f t="shared" si="92"/>
        <v>78</v>
      </c>
      <c r="B378" s="15">
        <f>Comparisons!G34</f>
        <v>2.15</v>
      </c>
      <c r="C378" s="48">
        <f t="shared" si="78"/>
        <v>52.91036321518159</v>
      </c>
      <c r="D378" s="48">
        <f t="shared" si="86"/>
        <v>80.764244136880876</v>
      </c>
      <c r="E378" s="49">
        <f t="shared" si="79"/>
        <v>122.27734725891109</v>
      </c>
      <c r="F378" s="49">
        <f t="shared" si="80"/>
        <v>1.149313472589111</v>
      </c>
      <c r="G378" s="49">
        <f t="shared" si="81"/>
        <v>176.3370239466818</v>
      </c>
      <c r="H378" s="5">
        <f t="shared" si="82"/>
        <v>3.3440000000000007</v>
      </c>
      <c r="I378" s="5">
        <f t="shared" si="83"/>
        <v>0.38456000000000012</v>
      </c>
      <c r="J378" s="5">
        <f t="shared" si="84"/>
        <v>5.33647500132379</v>
      </c>
      <c r="K378" s="5">
        <f t="shared" si="93"/>
        <v>17.249924230775612</v>
      </c>
      <c r="L378" s="5">
        <f>A378*(1-Finishing!O7/100)*B378</f>
        <v>159.31499999999997</v>
      </c>
      <c r="M378" s="5">
        <f t="shared" si="85"/>
        <v>0.54600000000000004</v>
      </c>
      <c r="N378" s="5">
        <f t="shared" si="87"/>
        <v>61.275973346462017</v>
      </c>
      <c r="O378" s="5">
        <f t="shared" si="88"/>
        <v>25.912275973552475</v>
      </c>
      <c r="P378" s="5">
        <f t="shared" si="89"/>
        <v>4.6442609322827177</v>
      </c>
      <c r="Q378" s="5">
        <f t="shared" si="90"/>
        <v>1.7647058823529411</v>
      </c>
      <c r="R378" s="5">
        <f t="shared" si="91"/>
        <v>15.022023946681815</v>
      </c>
      <c r="S378" s="5"/>
    </row>
    <row r="379" spans="1:19" x14ac:dyDescent="0.75">
      <c r="A379" s="11">
        <f t="shared" si="92"/>
        <v>88</v>
      </c>
      <c r="B379" s="15">
        <f>Comparisons!G35</f>
        <v>2.0499999999999998</v>
      </c>
      <c r="C379" s="48">
        <f t="shared" si="78"/>
        <v>58.866022995088684</v>
      </c>
      <c r="D379" s="48">
        <f t="shared" si="86"/>
        <v>89.719029031537417</v>
      </c>
      <c r="E379" s="49">
        <f t="shared" si="79"/>
        <v>129.93789911180733</v>
      </c>
      <c r="F379" s="49">
        <f t="shared" si="80"/>
        <v>1.4021018397857841</v>
      </c>
      <c r="G379" s="49">
        <f t="shared" si="81"/>
        <v>190.2060239466818</v>
      </c>
      <c r="H379" s="5">
        <f t="shared" si="82"/>
        <v>3.5819999999999994</v>
      </c>
      <c r="I379" s="5">
        <f t="shared" si="83"/>
        <v>0.41192999999999996</v>
      </c>
      <c r="J379" s="5">
        <f t="shared" si="84"/>
        <v>6.2853842631063808</v>
      </c>
      <c r="K379" s="5">
        <f t="shared" si="93"/>
        <v>23.535308493881992</v>
      </c>
      <c r="L379" s="5">
        <f>A379*(1-Finishing!O8/100)*B379</f>
        <v>173.18399999999997</v>
      </c>
      <c r="M379" s="5">
        <f t="shared" si="85"/>
        <v>0.61599999999999999</v>
      </c>
      <c r="N379" s="5">
        <f t="shared" si="87"/>
        <v>61.275973346462017</v>
      </c>
      <c r="O379" s="5">
        <f t="shared" si="88"/>
        <v>25.912275973552475</v>
      </c>
      <c r="P379" s="5">
        <f t="shared" si="89"/>
        <v>4.6442609322827177</v>
      </c>
      <c r="Q379" s="5">
        <f t="shared" si="90"/>
        <v>1.7647058823529411</v>
      </c>
      <c r="R379" s="5">
        <f t="shared" si="91"/>
        <v>15.022023946681815</v>
      </c>
      <c r="S379" s="5"/>
    </row>
    <row r="380" spans="1:19" x14ac:dyDescent="0.75">
      <c r="A380" s="11">
        <f t="shared" si="92"/>
        <v>98</v>
      </c>
      <c r="B380" s="15">
        <f>Comparisons!G36</f>
        <v>1.95</v>
      </c>
      <c r="C380" s="48">
        <f t="shared" si="78"/>
        <v>60.854602941332544</v>
      </c>
      <c r="D380" s="48">
        <f t="shared" si="86"/>
        <v>92.609125082281153</v>
      </c>
      <c r="E380" s="49">
        <f t="shared" si="79"/>
        <v>137.93666239422436</v>
      </c>
      <c r="F380" s="49">
        <f t="shared" si="80"/>
        <v>1.6867586111249162</v>
      </c>
      <c r="G380" s="49">
        <f t="shared" si="81"/>
        <v>200.47802394668182</v>
      </c>
      <c r="H380" s="5">
        <f t="shared" si="82"/>
        <v>3.7800000000000002</v>
      </c>
      <c r="I380" s="5">
        <f t="shared" si="83"/>
        <v>0.4158</v>
      </c>
      <c r="J380" s="5">
        <f t="shared" si="84"/>
        <v>7.0878379367347586</v>
      </c>
      <c r="K380" s="5">
        <f t="shared" si="93"/>
        <v>30.62314643061675</v>
      </c>
      <c r="L380" s="5">
        <f>A380*(1-Finishing!O9/100)*B380</f>
        <v>183.45599999999999</v>
      </c>
      <c r="M380" s="5">
        <f t="shared" si="85"/>
        <v>0.68600000000000005</v>
      </c>
      <c r="N380" s="5">
        <f t="shared" si="87"/>
        <v>61.275973346462017</v>
      </c>
      <c r="O380" s="5">
        <f t="shared" si="88"/>
        <v>25.912275973552475</v>
      </c>
      <c r="P380" s="5">
        <f t="shared" si="89"/>
        <v>4.6442609322827177</v>
      </c>
      <c r="Q380" s="5">
        <f t="shared" si="90"/>
        <v>1.7647058823529411</v>
      </c>
      <c r="R380" s="5">
        <f t="shared" si="91"/>
        <v>15.022023946681815</v>
      </c>
      <c r="S380" s="5"/>
    </row>
    <row r="381" spans="1:19" x14ac:dyDescent="0.75">
      <c r="A381" s="11">
        <f t="shared" si="92"/>
        <v>108</v>
      </c>
      <c r="B381" s="15">
        <f>Comparisons!G37</f>
        <v>1.85</v>
      </c>
      <c r="C381" s="48">
        <f t="shared" si="78"/>
        <v>58.219531075644021</v>
      </c>
      <c r="D381" s="48">
        <f t="shared" si="86"/>
        <v>88.464398147463413</v>
      </c>
      <c r="E381" s="49">
        <f t="shared" si="79"/>
        <v>148.58443062694707</v>
      </c>
      <c r="F381" s="49">
        <f t="shared" si="80"/>
        <v>2.0260622440907321</v>
      </c>
      <c r="G381" s="49">
        <f t="shared" si="81"/>
        <v>208.83002394668182</v>
      </c>
      <c r="H381" s="5">
        <f t="shared" si="82"/>
        <v>3.9379999999999988</v>
      </c>
      <c r="I381" s="5">
        <f t="shared" si="83"/>
        <v>0.4331799999999999</v>
      </c>
      <c r="J381" s="5">
        <f t="shared" si="84"/>
        <v>8.3425893531286146</v>
      </c>
      <c r="K381" s="5">
        <f t="shared" si="93"/>
        <v>38.965735783745366</v>
      </c>
      <c r="L381" s="5">
        <f>A381*(1-Finishing!O10/100)*B381</f>
        <v>191.80799999999999</v>
      </c>
      <c r="M381" s="5">
        <f t="shared" si="85"/>
        <v>0.75600000000000001</v>
      </c>
      <c r="N381" s="5">
        <f t="shared" si="87"/>
        <v>61.275973346462017</v>
      </c>
      <c r="O381" s="5">
        <f t="shared" si="88"/>
        <v>25.912275973552475</v>
      </c>
      <c r="P381" s="5">
        <f t="shared" si="89"/>
        <v>4.6442609322827177</v>
      </c>
      <c r="Q381" s="5">
        <f t="shared" si="90"/>
        <v>1.7647058823529411</v>
      </c>
      <c r="R381" s="5">
        <f t="shared" si="91"/>
        <v>15.022023946681815</v>
      </c>
      <c r="S381" s="5"/>
    </row>
    <row r="382" spans="1:19" x14ac:dyDescent="0.75">
      <c r="A382" s="11">
        <f t="shared" si="92"/>
        <v>118</v>
      </c>
      <c r="B382" s="15">
        <f>Comparisons!G38</f>
        <v>1.68</v>
      </c>
      <c r="C382" s="48">
        <f t="shared" si="78"/>
        <v>45.543455522732629</v>
      </c>
      <c r="D382" s="48">
        <f t="shared" si="86"/>
        <v>69.097808363450582</v>
      </c>
      <c r="E382" s="49">
        <f t="shared" si="79"/>
        <v>159.38325238577676</v>
      </c>
      <c r="F382" s="49">
        <f t="shared" si="80"/>
        <v>2.4057160381724279</v>
      </c>
      <c r="G382" s="49">
        <f t="shared" si="81"/>
        <v>207.33242394668181</v>
      </c>
      <c r="H382" s="5">
        <f t="shared" si="82"/>
        <v>4.056</v>
      </c>
      <c r="I382" s="5">
        <f t="shared" si="83"/>
        <v>0.44616</v>
      </c>
      <c r="J382" s="5">
        <f t="shared" si="84"/>
        <v>9.7899672128013098</v>
      </c>
      <c r="K382" s="5">
        <f t="shared" si="93"/>
        <v>48.755702996546674</v>
      </c>
      <c r="L382" s="5">
        <f>A382*(1-Finishing!O11/100)*B382</f>
        <v>190.31039999999999</v>
      </c>
      <c r="M382" s="5">
        <f t="shared" si="85"/>
        <v>0.82600000000000007</v>
      </c>
      <c r="N382" s="5">
        <f t="shared" si="87"/>
        <v>61.275973346462017</v>
      </c>
      <c r="O382" s="5">
        <f t="shared" si="88"/>
        <v>25.912275973552475</v>
      </c>
      <c r="P382" s="5">
        <f t="shared" si="89"/>
        <v>4.6442609322827177</v>
      </c>
      <c r="Q382" s="5">
        <f t="shared" si="90"/>
        <v>1.7647058823529411</v>
      </c>
      <c r="R382" s="5">
        <f t="shared" si="91"/>
        <v>15.022023946681815</v>
      </c>
      <c r="S382" s="5"/>
    </row>
    <row r="383" spans="1:19" x14ac:dyDescent="0.75">
      <c r="A383" s="11">
        <f t="shared" si="92"/>
        <v>128</v>
      </c>
      <c r="B383" s="15">
        <f>Comparisons!G39</f>
        <v>1.65</v>
      </c>
      <c r="C383" s="48">
        <f t="shared" si="78"/>
        <v>44.520469378217022</v>
      </c>
      <c r="D383" s="48">
        <f t="shared" si="86"/>
        <v>67.442783928037272</v>
      </c>
      <c r="E383" s="49">
        <f t="shared" si="79"/>
        <v>172.40612734001454</v>
      </c>
      <c r="F383" s="49">
        <f t="shared" si="80"/>
        <v>2.8474272284502535</v>
      </c>
      <c r="G383" s="49">
        <f t="shared" si="81"/>
        <v>219.77402394668181</v>
      </c>
      <c r="H383" s="5">
        <f t="shared" si="82"/>
        <v>4.1339999999999986</v>
      </c>
      <c r="I383" s="5">
        <f t="shared" si="83"/>
        <v>0.45473999999999987</v>
      </c>
      <c r="J383" s="5">
        <f t="shared" si="84"/>
        <v>11.449320378923376</v>
      </c>
      <c r="K383" s="5">
        <f t="shared" si="93"/>
        <v>60.205023375470049</v>
      </c>
      <c r="L383" s="5">
        <f>A383*(1-Finishing!O12/100)*B383</f>
        <v>202.75199999999998</v>
      </c>
      <c r="M383" s="5">
        <f t="shared" si="85"/>
        <v>0.89600000000000002</v>
      </c>
      <c r="N383" s="5">
        <f t="shared" si="87"/>
        <v>61.275973346462017</v>
      </c>
      <c r="O383" s="5">
        <f t="shared" si="88"/>
        <v>25.912275973552475</v>
      </c>
      <c r="P383" s="5">
        <f t="shared" si="89"/>
        <v>4.6442609322827177</v>
      </c>
      <c r="Q383" s="5">
        <f t="shared" si="90"/>
        <v>1.7647058823529411</v>
      </c>
      <c r="R383" s="5">
        <f t="shared" si="91"/>
        <v>15.022023946681815</v>
      </c>
      <c r="S383" s="5"/>
    </row>
    <row r="384" spans="1:19" x14ac:dyDescent="0.75">
      <c r="A384" s="11">
        <f t="shared" si="92"/>
        <v>138</v>
      </c>
      <c r="B384" s="15">
        <f>Comparisons!G40</f>
        <v>1.6</v>
      </c>
      <c r="C384" s="48">
        <f t="shared" si="78"/>
        <v>41.675525068218711</v>
      </c>
      <c r="D384" s="48">
        <f t="shared" si="86"/>
        <v>63.036672926253132</v>
      </c>
      <c r="E384" s="49">
        <f t="shared" si="79"/>
        <v>186.90868781007174</v>
      </c>
      <c r="F384" s="49">
        <f t="shared" si="80"/>
        <v>3.3638110683913625</v>
      </c>
      <c r="G384" s="49">
        <f t="shared" si="81"/>
        <v>231.94802394668181</v>
      </c>
      <c r="H384" s="5">
        <f t="shared" si="82"/>
        <v>4.1719999999999997</v>
      </c>
      <c r="I384" s="5">
        <f t="shared" si="83"/>
        <v>0.45891999999999999</v>
      </c>
      <c r="J384" s="5">
        <f t="shared" si="84"/>
        <v>13.350727994067185</v>
      </c>
      <c r="K384" s="5">
        <f t="shared" si="93"/>
        <v>73.555751369537234</v>
      </c>
      <c r="L384" s="5">
        <f>A384*(1-Finishing!O13/100)*B384</f>
        <v>214.17599999999999</v>
      </c>
      <c r="M384" s="5">
        <f t="shared" si="85"/>
        <v>0.96599999999999997</v>
      </c>
      <c r="N384" s="5">
        <f t="shared" si="87"/>
        <v>61.275973346462017</v>
      </c>
      <c r="O384" s="5">
        <f t="shared" si="88"/>
        <v>25.912275973552475</v>
      </c>
      <c r="P384" s="5">
        <f t="shared" si="89"/>
        <v>4.6442609322827177</v>
      </c>
      <c r="Q384" s="5">
        <f t="shared" si="90"/>
        <v>1.7647058823529411</v>
      </c>
      <c r="R384" s="5">
        <f t="shared" si="91"/>
        <v>15.022023946681815</v>
      </c>
      <c r="S384" s="5"/>
    </row>
    <row r="385" spans="1:19" x14ac:dyDescent="0.75">
      <c r="A385" s="11">
        <f t="shared" si="92"/>
        <v>148</v>
      </c>
      <c r="B385" s="15">
        <f>Comparisons!G41</f>
        <v>1.55</v>
      </c>
      <c r="C385" s="48">
        <f t="shared" si="78"/>
        <v>28.548442349530276</v>
      </c>
      <c r="D385" s="48">
        <f t="shared" si="86"/>
        <v>43.115165072129749</v>
      </c>
      <c r="E385" s="49">
        <f t="shared" si="79"/>
        <v>207.69972522993783</v>
      </c>
      <c r="F385" s="49">
        <f t="shared" si="80"/>
        <v>4.0418563672137244</v>
      </c>
      <c r="G385" s="49">
        <f t="shared" si="81"/>
        <v>240.29002394668183</v>
      </c>
      <c r="H385" s="5">
        <f t="shared" si="82"/>
        <v>4.169999999999999</v>
      </c>
      <c r="I385" s="5">
        <f t="shared" si="83"/>
        <v>0.45869999999999989</v>
      </c>
      <c r="J385" s="5">
        <f t="shared" si="84"/>
        <v>15.543325390625789</v>
      </c>
      <c r="K385" s="5">
        <f t="shared" si="93"/>
        <v>89.09907676016303</v>
      </c>
      <c r="L385" s="5">
        <f>A385*(1-Finishing!O14/100)*B385</f>
        <v>222.518</v>
      </c>
      <c r="M385" s="5">
        <f t="shared" si="85"/>
        <v>1.036</v>
      </c>
      <c r="N385" s="5">
        <f t="shared" si="87"/>
        <v>61.275973346462017</v>
      </c>
      <c r="O385" s="5">
        <f t="shared" si="88"/>
        <v>25.912275973552475</v>
      </c>
      <c r="P385" s="5">
        <f t="shared" si="89"/>
        <v>4.6442609322827177</v>
      </c>
      <c r="Q385" s="5">
        <f t="shared" si="90"/>
        <v>1.7647058823529411</v>
      </c>
      <c r="R385" s="5">
        <f t="shared" si="91"/>
        <v>15.022023946681815</v>
      </c>
      <c r="S385" s="5"/>
    </row>
    <row r="386" spans="1:19" x14ac:dyDescent="0.75">
      <c r="A386" s="11">
        <f t="shared" si="92"/>
        <v>158</v>
      </c>
      <c r="B386" s="15">
        <f>Comparisons!G42</f>
        <v>1.4</v>
      </c>
      <c r="C386" s="48">
        <f t="shared" si="78"/>
        <v>0.39622088344416273</v>
      </c>
      <c r="D386" s="48">
        <f t="shared" si="86"/>
        <v>0.59747455193262911</v>
      </c>
      <c r="E386" s="49">
        <f t="shared" si="79"/>
        <v>227.17743156872567</v>
      </c>
      <c r="F386" s="49">
        <f t="shared" si="80"/>
        <v>4.7623714945119628</v>
      </c>
      <c r="G386" s="49">
        <f t="shared" si="81"/>
        <v>232.33602394668179</v>
      </c>
      <c r="H386" s="5">
        <f t="shared" si="82"/>
        <v>4.1279999999999992</v>
      </c>
      <c r="I386" s="5">
        <f t="shared" si="83"/>
        <v>0.45407999999999993</v>
      </c>
      <c r="J386" s="5">
        <f t="shared" si="84"/>
        <v>18.110047448356379</v>
      </c>
      <c r="K386" s="5">
        <f t="shared" si="93"/>
        <v>107.20912420851941</v>
      </c>
      <c r="L386" s="5">
        <f>A386*(1-Finishing!O15/100)*B386</f>
        <v>214.56399999999996</v>
      </c>
      <c r="M386" s="5">
        <f t="shared" si="85"/>
        <v>1.1060000000000001</v>
      </c>
      <c r="N386" s="5">
        <f t="shared" si="87"/>
        <v>61.275973346462017</v>
      </c>
      <c r="O386" s="5">
        <f t="shared" si="88"/>
        <v>25.912275973552475</v>
      </c>
      <c r="P386" s="5">
        <f t="shared" si="89"/>
        <v>4.6442609322827177</v>
      </c>
      <c r="Q386" s="5">
        <f t="shared" si="90"/>
        <v>1.7647058823529411</v>
      </c>
      <c r="R386" s="5">
        <f t="shared" si="91"/>
        <v>15.022023946681815</v>
      </c>
      <c r="S386" s="5"/>
    </row>
    <row r="387" spans="1:19" x14ac:dyDescent="0.75">
      <c r="A387" s="11">
        <f t="shared" si="92"/>
        <v>168</v>
      </c>
      <c r="B387" s="15">
        <f>Comparisons!G43</f>
        <v>1.3</v>
      </c>
      <c r="C387" s="48">
        <f t="shared" si="78"/>
        <v>-25.392747451458845</v>
      </c>
      <c r="D387" s="48">
        <f t="shared" si="86"/>
        <v>-38.231834402936038</v>
      </c>
      <c r="E387" s="49">
        <f t="shared" si="79"/>
        <v>249.39580595812475</v>
      </c>
      <c r="F387" s="49">
        <f t="shared" si="80"/>
        <v>5.6169654400159308</v>
      </c>
      <c r="G387" s="49">
        <f t="shared" si="81"/>
        <v>229.62002394668184</v>
      </c>
      <c r="H387" s="5">
        <f t="shared" si="82"/>
        <v>4.0459999999999994</v>
      </c>
      <c r="I387" s="5">
        <f t="shared" si="83"/>
        <v>0.44505999999999996</v>
      </c>
      <c r="J387" s="5">
        <f t="shared" si="84"/>
        <v>21.195879038717507</v>
      </c>
      <c r="K387" s="5">
        <f t="shared" si="93"/>
        <v>128.40500324723692</v>
      </c>
      <c r="L387" s="5">
        <f>A387*(1-Finishing!O16/100)*B387</f>
        <v>211.84800000000001</v>
      </c>
      <c r="M387" s="5">
        <f t="shared" si="85"/>
        <v>1.1759999999999999</v>
      </c>
      <c r="N387" s="5">
        <f t="shared" si="87"/>
        <v>61.275973346462017</v>
      </c>
      <c r="O387" s="5">
        <f t="shared" si="88"/>
        <v>25.912275973552475</v>
      </c>
      <c r="P387" s="5">
        <f t="shared" si="89"/>
        <v>4.6442609322827177</v>
      </c>
      <c r="Q387" s="5">
        <f t="shared" si="90"/>
        <v>1.7647058823529411</v>
      </c>
      <c r="R387" s="5">
        <f t="shared" si="91"/>
        <v>15.022023946681815</v>
      </c>
      <c r="S387" s="5"/>
    </row>
    <row r="388" spans="1:19" x14ac:dyDescent="0.75">
      <c r="A388" s="11">
        <f t="shared" si="92"/>
        <v>178</v>
      </c>
      <c r="B388" s="15">
        <f>Comparisons!G44</f>
        <v>0</v>
      </c>
      <c r="C388" s="48" t="e">
        <f t="shared" si="78"/>
        <v>#DIV/0!</v>
      </c>
      <c r="D388" s="48" t="e">
        <f t="shared" si="86"/>
        <v>#DIV/0!</v>
      </c>
      <c r="E388" s="49" t="e">
        <f t="shared" si="79"/>
        <v>#DIV/0!</v>
      </c>
      <c r="F388" s="49" t="e">
        <f t="shared" si="80"/>
        <v>#DIV/0!</v>
      </c>
      <c r="G388" s="49">
        <f t="shared" si="81"/>
        <v>17.772023946681813</v>
      </c>
      <c r="H388" s="5">
        <f t="shared" si="82"/>
        <v>0</v>
      </c>
      <c r="I388" s="5">
        <f t="shared" si="83"/>
        <v>0</v>
      </c>
      <c r="J388" s="5" t="e">
        <f t="shared" si="84"/>
        <v>#DIV/0!</v>
      </c>
      <c r="K388" s="5" t="e">
        <f t="shared" si="93"/>
        <v>#DIV/0!</v>
      </c>
      <c r="L388" s="5">
        <f>A388*(1-Finishing!O17/100)*B388</f>
        <v>0</v>
      </c>
      <c r="M388" s="5">
        <f t="shared" si="85"/>
        <v>1.246</v>
      </c>
      <c r="N388" s="5">
        <f t="shared" si="87"/>
        <v>61.275973346462017</v>
      </c>
      <c r="O388" s="5">
        <f t="shared" si="88"/>
        <v>25.912275973552475</v>
      </c>
      <c r="P388" s="5">
        <f t="shared" si="89"/>
        <v>4.6442609322827177</v>
      </c>
      <c r="Q388" s="5">
        <f t="shared" si="90"/>
        <v>1.7647058823529411</v>
      </c>
      <c r="R388" s="5">
        <f t="shared" si="91"/>
        <v>15.022023946681815</v>
      </c>
      <c r="S388" s="5"/>
    </row>
    <row r="389" spans="1:19" x14ac:dyDescent="0.75">
      <c r="A389" s="11">
        <f t="shared" si="92"/>
        <v>188</v>
      </c>
      <c r="B389" s="15">
        <f>Comparisons!G45</f>
        <v>0</v>
      </c>
      <c r="C389" s="48" t="e">
        <f t="shared" si="78"/>
        <v>#DIV/0!</v>
      </c>
      <c r="D389" s="48" t="e">
        <f t="shared" si="86"/>
        <v>#DIV/0!</v>
      </c>
      <c r="E389" s="49" t="e">
        <f t="shared" si="79"/>
        <v>#DIV/0!</v>
      </c>
      <c r="F389" s="49" t="e">
        <f t="shared" si="80"/>
        <v>#DIV/0!</v>
      </c>
      <c r="G389" s="49">
        <f t="shared" si="81"/>
        <v>17.772023946681813</v>
      </c>
      <c r="H389" s="5">
        <f t="shared" si="82"/>
        <v>0</v>
      </c>
      <c r="I389" s="5">
        <f t="shared" si="83"/>
        <v>0</v>
      </c>
      <c r="J389" s="5" t="e">
        <f>I389*(C370-C369)</f>
        <v>#DIV/0!</v>
      </c>
      <c r="K389" s="5" t="e">
        <f t="shared" si="93"/>
        <v>#DIV/0!</v>
      </c>
      <c r="L389" s="5">
        <f>A389*(1-Finishing!O18/100)*B389</f>
        <v>0</v>
      </c>
      <c r="M389" s="5">
        <f t="shared" si="85"/>
        <v>1.3160000000000001</v>
      </c>
      <c r="N389" s="5">
        <f t="shared" si="87"/>
        <v>61.275973346462017</v>
      </c>
      <c r="O389" s="5">
        <f t="shared" si="88"/>
        <v>25.912275973552475</v>
      </c>
      <c r="P389" s="5">
        <f t="shared" si="89"/>
        <v>4.6442609322827177</v>
      </c>
      <c r="Q389" s="5">
        <f t="shared" si="90"/>
        <v>1.7647058823529411</v>
      </c>
      <c r="R389" s="5">
        <f t="shared" si="91"/>
        <v>15.022023946681815</v>
      </c>
      <c r="S389" s="5"/>
    </row>
    <row r="401" spans="1:19" x14ac:dyDescent="0.75">
      <c r="A401" s="1" t="s">
        <v>49</v>
      </c>
      <c r="B401" s="3"/>
      <c r="C401" s="12"/>
      <c r="D401" s="3"/>
      <c r="E401" s="1" t="s">
        <v>169</v>
      </c>
      <c r="F401" s="4"/>
      <c r="G401" s="3"/>
      <c r="H401" s="5"/>
      <c r="I401" s="3"/>
      <c r="J401" s="3"/>
      <c r="K401" s="3"/>
      <c r="L401" s="3"/>
      <c r="M401" s="3"/>
      <c r="N401" s="3"/>
      <c r="O401" s="5"/>
      <c r="P401" s="3"/>
      <c r="Q401" s="5"/>
      <c r="R401" s="5"/>
      <c r="S401" s="5"/>
    </row>
    <row r="402" spans="1:19" x14ac:dyDescent="0.75">
      <c r="A402" t="s">
        <v>13</v>
      </c>
      <c r="B402" s="61">
        <f>Comparisons!H3</f>
        <v>48</v>
      </c>
      <c r="C402" s="12" t="s">
        <v>9</v>
      </c>
      <c r="D402" s="3"/>
      <c r="E402" s="1"/>
      <c r="F402" s="4"/>
      <c r="G402" s="3"/>
      <c r="H402" s="5"/>
      <c r="I402" s="3"/>
      <c r="J402" s="3"/>
      <c r="K402" s="3"/>
      <c r="L402" s="3"/>
      <c r="M402" s="3"/>
      <c r="N402" s="3"/>
      <c r="O402" s="5"/>
      <c r="P402" s="3"/>
      <c r="Q402" s="5"/>
      <c r="R402" s="5"/>
      <c r="S402" s="5"/>
    </row>
    <row r="403" spans="1:19" x14ac:dyDescent="0.75">
      <c r="A403" t="s">
        <v>14</v>
      </c>
      <c r="B403" s="63">
        <f>Comparisons!H4</f>
        <v>65</v>
      </c>
      <c r="C403" s="12" t="s">
        <v>10</v>
      </c>
      <c r="D403" s="3"/>
      <c r="E403" s="1"/>
      <c r="F403" s="4"/>
      <c r="G403" s="3"/>
      <c r="H403" s="5"/>
      <c r="I403" s="3"/>
      <c r="J403" s="3"/>
      <c r="K403" s="3"/>
      <c r="L403" s="3"/>
      <c r="M403" s="3"/>
      <c r="N403" s="3"/>
      <c r="O403" s="5"/>
      <c r="P403" s="3"/>
      <c r="Q403" s="5"/>
      <c r="R403" s="5"/>
      <c r="S403" s="5"/>
    </row>
    <row r="404" spans="1:19" x14ac:dyDescent="0.75">
      <c r="A404" t="s">
        <v>15</v>
      </c>
      <c r="B404" s="63">
        <f>Comparisons!H5</f>
        <v>0</v>
      </c>
      <c r="C404" s="12" t="s">
        <v>10</v>
      </c>
      <c r="D404" s="3"/>
      <c r="E404" s="1"/>
      <c r="F404" s="4"/>
      <c r="G404" s="3"/>
      <c r="H404" s="5"/>
      <c r="I404" s="3"/>
      <c r="J404" s="3"/>
      <c r="K404" s="3"/>
      <c r="L404" s="3"/>
      <c r="M404" s="3"/>
      <c r="N404" s="3"/>
      <c r="O404" s="5"/>
      <c r="P404" s="3"/>
      <c r="Q404" s="5"/>
      <c r="R404" s="5"/>
      <c r="S404" s="5"/>
    </row>
    <row r="405" spans="1:19" x14ac:dyDescent="0.75">
      <c r="A405" t="s">
        <v>16</v>
      </c>
      <c r="B405" s="63">
        <f>Comparisons!H6</f>
        <v>0.4</v>
      </c>
      <c r="C405" s="12" t="s">
        <v>53</v>
      </c>
      <c r="D405" s="3"/>
      <c r="E405" s="3"/>
      <c r="F405" s="4"/>
      <c r="G405" s="3"/>
      <c r="H405" s="5"/>
      <c r="I405" s="3"/>
      <c r="J405" s="3"/>
      <c r="K405" s="3"/>
      <c r="L405" s="3"/>
      <c r="M405" s="3"/>
      <c r="N405" s="3"/>
      <c r="O405" s="5"/>
      <c r="P405" s="3"/>
      <c r="Q405" s="5"/>
      <c r="R405" s="5"/>
      <c r="S405" s="5"/>
    </row>
    <row r="406" spans="1:19" x14ac:dyDescent="0.75">
      <c r="A406" t="s">
        <v>18</v>
      </c>
      <c r="B406" s="63">
        <f>Comparisons!H7</f>
        <v>0.15</v>
      </c>
      <c r="C406" s="12" t="s">
        <v>52</v>
      </c>
      <c r="D406" s="3"/>
      <c r="E406" s="3"/>
      <c r="F406" s="4"/>
      <c r="G406" s="3"/>
      <c r="H406" s="5"/>
      <c r="I406" s="3"/>
      <c r="J406" s="3"/>
      <c r="K406" s="3"/>
      <c r="L406" s="3"/>
      <c r="M406" s="3"/>
      <c r="N406" s="3"/>
      <c r="O406" s="5"/>
      <c r="P406" s="3"/>
      <c r="Q406" s="5"/>
      <c r="R406" s="5"/>
      <c r="S406" s="5"/>
    </row>
    <row r="407" spans="1:19" x14ac:dyDescent="0.75">
      <c r="A407" s="2" t="s">
        <v>19</v>
      </c>
      <c r="B407" s="23">
        <f>B404*B405*B406</f>
        <v>0</v>
      </c>
      <c r="C407" s="13" t="s">
        <v>23</v>
      </c>
      <c r="D407" s="3"/>
      <c r="E407" s="3"/>
      <c r="F407" s="4"/>
      <c r="G407" s="3"/>
      <c r="H407" s="5"/>
      <c r="I407" s="3"/>
      <c r="J407" s="3"/>
      <c r="K407" s="3"/>
      <c r="L407" s="3"/>
      <c r="M407" s="3"/>
      <c r="N407" s="3"/>
      <c r="O407" s="5"/>
      <c r="P407" s="3"/>
      <c r="Q407" s="5"/>
      <c r="R407" s="5"/>
      <c r="S407" s="5"/>
    </row>
    <row r="408" spans="1:19" x14ac:dyDescent="0.75">
      <c r="A408" t="s">
        <v>46</v>
      </c>
      <c r="B408" s="61">
        <f>Comparisons!H8</f>
        <v>0</v>
      </c>
      <c r="C408" s="12" t="s">
        <v>10</v>
      </c>
      <c r="D408" s="3"/>
      <c r="E408" s="3"/>
      <c r="F408" s="4"/>
      <c r="G408" s="3"/>
      <c r="H408" s="5"/>
      <c r="I408" s="3"/>
      <c r="J408" s="3"/>
      <c r="K408" s="3"/>
      <c r="L408" s="3"/>
      <c r="M408" s="3"/>
      <c r="N408" s="3"/>
      <c r="O408" s="5"/>
      <c r="P408" s="3"/>
      <c r="Q408" s="5"/>
      <c r="R408" s="5"/>
      <c r="S408" s="5"/>
    </row>
    <row r="409" spans="1:19" x14ac:dyDescent="0.75">
      <c r="A409" t="s">
        <v>47</v>
      </c>
      <c r="B409" s="63">
        <f>Comparisons!H9</f>
        <v>0.2</v>
      </c>
      <c r="C409" s="12" t="s">
        <v>53</v>
      </c>
      <c r="D409" s="3"/>
      <c r="E409" s="3"/>
      <c r="F409" s="4"/>
      <c r="G409" s="3"/>
      <c r="H409" s="5"/>
      <c r="I409" s="3"/>
      <c r="J409" s="3"/>
      <c r="K409" s="3"/>
      <c r="L409" s="3"/>
      <c r="M409" s="3"/>
      <c r="N409" s="3"/>
      <c r="O409" s="5"/>
      <c r="P409" s="3"/>
      <c r="Q409" s="5"/>
      <c r="R409" s="5"/>
      <c r="S409" s="5"/>
    </row>
    <row r="410" spans="1:19" x14ac:dyDescent="0.75">
      <c r="A410" t="s">
        <v>48</v>
      </c>
      <c r="B410" s="63">
        <f>Comparisons!H10</f>
        <v>7.0000000000000007E-2</v>
      </c>
      <c r="C410" s="12" t="s">
        <v>52</v>
      </c>
      <c r="D410" s="3"/>
      <c r="E410" s="3"/>
      <c r="F410" s="4"/>
      <c r="G410" s="3"/>
      <c r="H410" s="5"/>
      <c r="I410" s="3"/>
      <c r="J410" s="3"/>
      <c r="K410" s="3"/>
      <c r="L410" s="3"/>
      <c r="M410" s="3"/>
      <c r="N410" s="3"/>
      <c r="O410" s="5"/>
      <c r="P410" s="3"/>
      <c r="Q410" s="5"/>
      <c r="R410" s="5"/>
      <c r="S410" s="5"/>
    </row>
    <row r="411" spans="1:19" x14ac:dyDescent="0.75">
      <c r="A411" s="2" t="s">
        <v>44</v>
      </c>
      <c r="B411" s="23">
        <f>B408*B409*B410</f>
        <v>0</v>
      </c>
      <c r="C411" s="13" t="s">
        <v>23</v>
      </c>
      <c r="D411" s="3"/>
      <c r="E411" s="3"/>
      <c r="F411" s="4"/>
      <c r="G411" s="3"/>
      <c r="H411" s="5"/>
      <c r="I411" s="3"/>
      <c r="J411" s="3"/>
      <c r="K411" s="3"/>
      <c r="L411" s="3"/>
      <c r="M411" s="3"/>
      <c r="N411" s="3"/>
      <c r="O411" s="5"/>
      <c r="P411" s="3"/>
      <c r="Q411" s="5"/>
      <c r="R411" s="5"/>
      <c r="S411" s="5"/>
    </row>
    <row r="412" spans="1:19" x14ac:dyDescent="0.75">
      <c r="A412" s="2" t="s">
        <v>45</v>
      </c>
      <c r="B412" s="23">
        <f>B407+B411</f>
        <v>0</v>
      </c>
      <c r="C412" s="13" t="s">
        <v>23</v>
      </c>
      <c r="D412" s="3"/>
      <c r="E412" s="3"/>
      <c r="F412" s="4"/>
      <c r="G412" s="3"/>
      <c r="H412" s="5"/>
      <c r="I412" s="3"/>
      <c r="J412" s="3"/>
      <c r="K412" s="3"/>
      <c r="L412" s="3"/>
      <c r="M412" s="3"/>
      <c r="N412" s="3"/>
      <c r="O412" s="5"/>
      <c r="P412" s="3"/>
      <c r="Q412" s="5"/>
      <c r="R412" s="5"/>
      <c r="S412" s="5"/>
    </row>
    <row r="413" spans="1:19" x14ac:dyDescent="0.75">
      <c r="A413" s="2"/>
      <c r="B413" s="20"/>
      <c r="C413" s="13"/>
      <c r="D413" s="3"/>
      <c r="E413" s="3"/>
      <c r="F413" s="4"/>
      <c r="G413" s="3"/>
      <c r="H413" s="5"/>
      <c r="I413" s="3"/>
      <c r="J413" s="3"/>
      <c r="K413" s="3"/>
      <c r="L413" s="3"/>
      <c r="M413" s="3"/>
      <c r="N413" s="3"/>
      <c r="O413" s="5"/>
      <c r="P413" s="3"/>
      <c r="Q413" s="5"/>
      <c r="R413" s="5"/>
      <c r="S413" s="5"/>
    </row>
    <row r="414" spans="1:19" x14ac:dyDescent="0.75">
      <c r="A414" s="1" t="s">
        <v>102</v>
      </c>
      <c r="B414" s="3"/>
      <c r="C414" s="12"/>
      <c r="D414" s="3"/>
      <c r="E414" s="3"/>
      <c r="F414" s="4"/>
      <c r="G414" s="3"/>
      <c r="H414" s="5"/>
      <c r="I414" s="3"/>
      <c r="J414" s="3"/>
      <c r="K414" s="3"/>
      <c r="L414" s="3"/>
      <c r="M414" s="3"/>
      <c r="N414" s="3"/>
      <c r="O414" s="5"/>
      <c r="P414" s="3"/>
      <c r="Q414" s="5"/>
      <c r="R414" s="5"/>
      <c r="S414" s="5"/>
    </row>
    <row r="415" spans="1:19" x14ac:dyDescent="0.75">
      <c r="A415" t="s">
        <v>78</v>
      </c>
      <c r="B415" s="61">
        <v>100</v>
      </c>
      <c r="C415" s="12" t="s">
        <v>79</v>
      </c>
      <c r="D415" s="3"/>
      <c r="E415" t="s">
        <v>62</v>
      </c>
      <c r="F415" s="3">
        <v>2.4</v>
      </c>
      <c r="G415" s="12" t="s">
        <v>64</v>
      </c>
      <c r="H415" s="5"/>
      <c r="I415" s="3"/>
      <c r="J415" s="3"/>
      <c r="K415" s="3"/>
      <c r="L415" s="3"/>
      <c r="M415" s="3"/>
      <c r="N415" s="3"/>
      <c r="O415" s="5"/>
      <c r="P415" s="3"/>
      <c r="Q415" s="5"/>
      <c r="R415" s="5"/>
      <c r="S415" s="5"/>
    </row>
    <row r="416" spans="1:19" x14ac:dyDescent="0.75">
      <c r="A416" t="s">
        <v>27</v>
      </c>
      <c r="B416" s="61">
        <f>Comparisons!H11</f>
        <v>175</v>
      </c>
      <c r="C416" s="12" t="s">
        <v>54</v>
      </c>
      <c r="D416" s="3"/>
      <c r="E416" t="s">
        <v>61</v>
      </c>
      <c r="F416" s="3">
        <f>IF(B421&lt;1.5,2.8,3.2)</f>
        <v>3.2</v>
      </c>
      <c r="G416" s="12" t="s">
        <v>64</v>
      </c>
      <c r="H416" s="5"/>
      <c r="I416" s="3"/>
      <c r="J416" s="3"/>
      <c r="K416" s="3"/>
      <c r="L416" s="3"/>
      <c r="M416" s="3"/>
      <c r="N416" s="3"/>
      <c r="O416" s="5"/>
      <c r="P416" s="3"/>
      <c r="Q416" s="5"/>
      <c r="R416" s="5"/>
      <c r="S416" s="5"/>
    </row>
    <row r="417" spans="1:19" x14ac:dyDescent="0.75">
      <c r="A417" t="s">
        <v>28</v>
      </c>
      <c r="B417" s="63">
        <f>Comparisons!H12</f>
        <v>4.2000000000000003E-2</v>
      </c>
      <c r="C417" s="12" t="s">
        <v>52</v>
      </c>
      <c r="D417" s="3"/>
      <c r="E417" t="s">
        <v>63</v>
      </c>
      <c r="F417" s="3">
        <f>IF(B421&lt;1.5,3.5,3.9)</f>
        <v>3.9</v>
      </c>
      <c r="G417" s="12" t="s">
        <v>64</v>
      </c>
      <c r="H417" s="5"/>
      <c r="I417" s="3"/>
      <c r="J417" s="4"/>
      <c r="K417" s="3"/>
      <c r="L417" s="3"/>
      <c r="M417" s="3"/>
      <c r="N417" s="3"/>
      <c r="O417" s="5"/>
      <c r="P417" s="3"/>
      <c r="Q417" s="5"/>
      <c r="R417" s="5"/>
      <c r="S417" s="5"/>
    </row>
    <row r="418" spans="1:19" x14ac:dyDescent="0.75">
      <c r="A418" t="s">
        <v>29</v>
      </c>
      <c r="B418" s="63">
        <f>Comparisons!H13</f>
        <v>5.7000000000000002E-2</v>
      </c>
      <c r="C418" s="12" t="s">
        <v>52</v>
      </c>
      <c r="D418" s="3"/>
      <c r="E418" t="s">
        <v>62</v>
      </c>
      <c r="F418" s="25">
        <f>B416*F415/100*B417</f>
        <v>0.17640000000000003</v>
      </c>
      <c r="G418" s="12" t="s">
        <v>55</v>
      </c>
      <c r="H418" s="5"/>
      <c r="I418" s="3"/>
      <c r="J418" s="4"/>
      <c r="K418" s="3"/>
      <c r="L418" s="3"/>
      <c r="M418" s="3"/>
      <c r="N418" s="3"/>
      <c r="O418" s="5"/>
      <c r="P418" s="3"/>
      <c r="Q418" s="5"/>
      <c r="R418" s="5"/>
      <c r="S418" s="5"/>
    </row>
    <row r="419" spans="1:19" x14ac:dyDescent="0.75">
      <c r="A419" t="s">
        <v>30</v>
      </c>
      <c r="B419" s="63">
        <f>Comparisons!H14</f>
        <v>12</v>
      </c>
      <c r="C419" s="12" t="s">
        <v>82</v>
      </c>
      <c r="D419" s="3"/>
      <c r="E419" t="s">
        <v>61</v>
      </c>
      <c r="F419" s="25">
        <f>F416/100*B416*B418</f>
        <v>0.31920000000000004</v>
      </c>
      <c r="G419" s="12" t="s">
        <v>55</v>
      </c>
      <c r="H419" s="5"/>
      <c r="I419" s="3"/>
      <c r="J419" s="4"/>
      <c r="K419" s="3"/>
      <c r="L419" s="3"/>
      <c r="M419" s="3"/>
      <c r="N419" s="3"/>
      <c r="O419" s="5"/>
      <c r="P419" s="3"/>
      <c r="Q419" s="5"/>
      <c r="R419" s="5"/>
      <c r="S419" s="5"/>
    </row>
    <row r="420" spans="1:19" x14ac:dyDescent="0.75">
      <c r="A420" t="s">
        <v>31</v>
      </c>
      <c r="B420" s="63">
        <f>Comparisons!H15</f>
        <v>94</v>
      </c>
      <c r="C420" s="12" t="s">
        <v>25</v>
      </c>
      <c r="D420" s="3"/>
      <c r="E420" t="s">
        <v>63</v>
      </c>
      <c r="F420" s="25">
        <f>B416*F417/100*B418</f>
        <v>0.38902500000000001</v>
      </c>
      <c r="G420" s="12" t="s">
        <v>55</v>
      </c>
      <c r="H420" s="5"/>
      <c r="I420" s="3"/>
      <c r="J420" s="4"/>
      <c r="K420" s="3"/>
      <c r="L420" s="3"/>
      <c r="M420" s="3"/>
      <c r="N420" s="3"/>
      <c r="O420" s="5"/>
      <c r="P420" s="3"/>
      <c r="Q420" s="5"/>
      <c r="R420" s="5"/>
      <c r="S420" s="5"/>
    </row>
    <row r="421" spans="1:19" x14ac:dyDescent="0.75">
      <c r="A421" t="s">
        <v>32</v>
      </c>
      <c r="B421" s="63">
        <f>Comparisons!H16</f>
        <v>1.9</v>
      </c>
      <c r="C421" s="12" t="s">
        <v>33</v>
      </c>
      <c r="D421" s="3"/>
      <c r="E421" t="s">
        <v>26</v>
      </c>
      <c r="F421" s="3">
        <f>(B419*30-4*7-B403)*F418</f>
        <v>47.098800000000004</v>
      </c>
      <c r="G421" s="12" t="s">
        <v>80</v>
      </c>
      <c r="H421" s="5"/>
      <c r="I421" s="3"/>
      <c r="J421" s="4"/>
      <c r="K421" s="3"/>
      <c r="L421" s="3"/>
      <c r="M421" s="3"/>
      <c r="N421" s="3"/>
      <c r="O421" s="5"/>
      <c r="P421" s="3"/>
      <c r="Q421" s="5"/>
      <c r="R421" s="5"/>
      <c r="S421" s="5"/>
    </row>
    <row r="422" spans="1:19" x14ac:dyDescent="0.75">
      <c r="A422" t="s">
        <v>60</v>
      </c>
      <c r="B422" s="63">
        <f>Comparisons!H17</f>
        <v>11</v>
      </c>
      <c r="C422" s="12" t="s">
        <v>84</v>
      </c>
      <c r="D422" s="3"/>
      <c r="E422" t="s">
        <v>65</v>
      </c>
      <c r="F422" s="3">
        <f>4*7*F419</f>
        <v>8.9376000000000015</v>
      </c>
      <c r="G422" s="12" t="s">
        <v>80</v>
      </c>
      <c r="H422" s="5"/>
      <c r="I422" s="3"/>
      <c r="J422" s="4"/>
      <c r="K422" s="3"/>
      <c r="L422" s="3"/>
      <c r="M422" s="3"/>
      <c r="N422" s="3"/>
      <c r="O422" s="5"/>
      <c r="P422" s="3"/>
      <c r="Q422" s="5"/>
      <c r="R422" s="5"/>
      <c r="S422" s="5"/>
    </row>
    <row r="423" spans="1:19" x14ac:dyDescent="0.75">
      <c r="A423" t="s">
        <v>59</v>
      </c>
      <c r="B423" s="63">
        <f>Comparisons!H18</f>
        <v>3</v>
      </c>
      <c r="C423" s="12" t="s">
        <v>85</v>
      </c>
      <c r="D423" s="3"/>
      <c r="E423" t="s">
        <v>66</v>
      </c>
      <c r="F423" s="10">
        <f>B403*F420</f>
        <v>25.286625000000001</v>
      </c>
      <c r="G423" s="12" t="s">
        <v>80</v>
      </c>
      <c r="H423" s="5"/>
      <c r="I423" s="3"/>
      <c r="J423" s="4"/>
      <c r="K423" s="3"/>
      <c r="L423" s="3"/>
      <c r="M423" s="3"/>
      <c r="N423" s="3"/>
      <c r="O423" s="5"/>
      <c r="P423" s="3"/>
      <c r="Q423" s="5"/>
      <c r="R423" s="5"/>
      <c r="S423" s="5"/>
    </row>
    <row r="424" spans="1:19" x14ac:dyDescent="0.75">
      <c r="A424" s="21" t="s">
        <v>72</v>
      </c>
      <c r="B424" s="24">
        <f>B415*B420/100*B421*(1-B422/100)*(1-B423/100)</f>
        <v>154.18538000000001</v>
      </c>
      <c r="C424" s="13" t="s">
        <v>77</v>
      </c>
      <c r="D424" s="3"/>
      <c r="E424" t="s">
        <v>56</v>
      </c>
      <c r="F424" s="3">
        <f>F421+F422+F423</f>
        <v>81.323025000000001</v>
      </c>
      <c r="G424" s="12" t="s">
        <v>98</v>
      </c>
      <c r="H424" s="5"/>
      <c r="I424" s="3"/>
      <c r="J424" s="4"/>
      <c r="K424" s="3"/>
      <c r="L424" s="3"/>
      <c r="M424" s="3"/>
      <c r="N424" s="3"/>
      <c r="O424" s="5"/>
      <c r="P424" s="3"/>
      <c r="Q424" s="5"/>
      <c r="R424" s="5"/>
      <c r="S424" s="5"/>
    </row>
    <row r="425" spans="1:19" s="19" customFormat="1" x14ac:dyDescent="0.75">
      <c r="A425" s="22" t="s">
        <v>71</v>
      </c>
      <c r="B425" s="26">
        <f>B421*B420/100</f>
        <v>1.786</v>
      </c>
      <c r="C425" s="13" t="s">
        <v>96</v>
      </c>
      <c r="D425" s="16"/>
      <c r="E425" t="s">
        <v>57</v>
      </c>
      <c r="F425" s="5">
        <f>(F418*365)*(1-B420/100)+F424*B420/100</f>
        <v>80.306803500000001</v>
      </c>
      <c r="G425" s="12" t="s">
        <v>81</v>
      </c>
      <c r="H425" s="18"/>
      <c r="I425" s="16"/>
      <c r="J425" s="17"/>
      <c r="K425" s="16"/>
      <c r="L425" s="16"/>
      <c r="M425" s="16"/>
      <c r="N425" s="16"/>
      <c r="O425" s="18"/>
      <c r="P425" s="16"/>
      <c r="Q425" s="18"/>
      <c r="R425" s="18"/>
      <c r="S425" s="18"/>
    </row>
    <row r="426" spans="1:19" x14ac:dyDescent="0.75">
      <c r="A426" s="22" t="s">
        <v>70</v>
      </c>
      <c r="B426" s="26">
        <f>B420/100*B421*(1-B422/100)*(1-B423/100)</f>
        <v>1.5418537999999999</v>
      </c>
      <c r="C426" s="13" t="s">
        <v>97</v>
      </c>
      <c r="D426" s="3"/>
      <c r="E426" s="2" t="s">
        <v>58</v>
      </c>
      <c r="F426" s="26">
        <f>F425/B426</f>
        <v>52.084577344492715</v>
      </c>
      <c r="G426" s="13" t="s">
        <v>118</v>
      </c>
      <c r="H426" s="5"/>
      <c r="I426" s="3"/>
      <c r="J426" s="3"/>
      <c r="K426" s="3"/>
      <c r="L426" s="3"/>
      <c r="M426" s="3"/>
      <c r="N426" s="3"/>
      <c r="O426" s="5"/>
      <c r="P426" s="3"/>
      <c r="Q426" s="5"/>
      <c r="R426" s="5"/>
      <c r="S426" s="5"/>
    </row>
    <row r="427" spans="1:19" x14ac:dyDescent="0.75">
      <c r="B427" s="3"/>
      <c r="C427" s="3"/>
      <c r="D427" s="3"/>
      <c r="E427" s="3"/>
      <c r="F427" s="4"/>
      <c r="G427" s="3"/>
      <c r="H427" s="5"/>
      <c r="I427" s="3"/>
      <c r="J427" s="3"/>
      <c r="K427" s="3"/>
      <c r="L427" s="3"/>
      <c r="M427" s="3"/>
      <c r="N427" s="3"/>
      <c r="O427" s="5"/>
      <c r="P427" s="3"/>
      <c r="Q427" s="5"/>
      <c r="R427" s="5"/>
      <c r="S427" s="5"/>
    </row>
    <row r="428" spans="1:19" x14ac:dyDescent="0.75">
      <c r="A428" s="1" t="s">
        <v>83</v>
      </c>
      <c r="B428" s="3"/>
      <c r="C428" s="12"/>
      <c r="D428" s="3"/>
      <c r="E428" s="3"/>
      <c r="F428" s="4"/>
      <c r="G428" s="3"/>
      <c r="H428" s="4"/>
      <c r="I428" s="3"/>
      <c r="J428" s="5"/>
      <c r="K428" s="3"/>
      <c r="L428" s="3"/>
      <c r="M428" s="3"/>
      <c r="N428" s="3"/>
      <c r="O428" s="5"/>
      <c r="P428" s="3"/>
      <c r="Q428" s="5"/>
      <c r="R428" s="5"/>
      <c r="S428" s="5"/>
    </row>
    <row r="429" spans="1:19" x14ac:dyDescent="0.75">
      <c r="A429" t="s">
        <v>36</v>
      </c>
      <c r="B429" s="61">
        <f>Comparisons!H19</f>
        <v>10</v>
      </c>
      <c r="C429" s="12" t="s">
        <v>35</v>
      </c>
      <c r="D429" s="3"/>
      <c r="E429" s="3"/>
      <c r="F429" s="4"/>
      <c r="G429" s="3"/>
      <c r="H429" s="5"/>
      <c r="I429" s="3"/>
      <c r="J429" s="3"/>
      <c r="K429" s="3"/>
      <c r="L429" s="3"/>
      <c r="M429" s="3"/>
      <c r="N429" s="3"/>
      <c r="O429" s="5"/>
      <c r="P429" s="3"/>
      <c r="Q429" s="5"/>
      <c r="R429" s="5"/>
      <c r="S429" s="5"/>
    </row>
    <row r="430" spans="1:19" x14ac:dyDescent="0.75">
      <c r="A430" t="s">
        <v>34</v>
      </c>
      <c r="B430" s="63">
        <f>Comparisons!H20</f>
        <v>0.4</v>
      </c>
      <c r="C430" s="12" t="s">
        <v>99</v>
      </c>
      <c r="D430" s="3"/>
      <c r="E430" s="3"/>
      <c r="F430" s="4"/>
      <c r="G430" s="3"/>
      <c r="H430" s="5"/>
      <c r="I430" s="3"/>
      <c r="J430" s="3"/>
      <c r="K430" s="3"/>
      <c r="L430" s="3"/>
      <c r="M430" s="3"/>
      <c r="N430" s="3"/>
      <c r="O430" s="5"/>
      <c r="P430" s="3"/>
      <c r="Q430" s="5"/>
      <c r="R430" s="5"/>
      <c r="S430" s="5"/>
    </row>
    <row r="431" spans="1:19" x14ac:dyDescent="0.75">
      <c r="A431" t="s">
        <v>100</v>
      </c>
      <c r="B431" s="63">
        <f>Comparisons!H21</f>
        <v>2.25</v>
      </c>
      <c r="C431" s="12" t="s">
        <v>99</v>
      </c>
      <c r="D431" s="3"/>
      <c r="E431" s="3"/>
      <c r="F431" s="4"/>
      <c r="G431" s="3"/>
      <c r="H431" s="5"/>
      <c r="I431" s="3"/>
      <c r="J431" s="3"/>
      <c r="K431" s="3"/>
      <c r="L431" s="3"/>
      <c r="M431" s="3"/>
      <c r="N431" s="3"/>
      <c r="O431" s="5"/>
      <c r="P431" s="3"/>
      <c r="Q431" s="5"/>
      <c r="R431" s="5"/>
      <c r="S431" s="5"/>
    </row>
    <row r="432" spans="1:19" x14ac:dyDescent="0.75">
      <c r="A432" t="s">
        <v>67</v>
      </c>
      <c r="B432" s="63">
        <f>Comparisons!H22</f>
        <v>8</v>
      </c>
      <c r="C432" s="12" t="s">
        <v>80</v>
      </c>
      <c r="D432" s="3"/>
      <c r="E432" s="3"/>
      <c r="F432" s="4"/>
      <c r="G432" s="3"/>
      <c r="H432" s="5"/>
      <c r="I432" s="3"/>
      <c r="J432" s="3"/>
      <c r="K432" s="3"/>
      <c r="L432" s="3"/>
      <c r="M432" s="3"/>
      <c r="N432" s="3"/>
      <c r="O432" s="5"/>
      <c r="P432" s="3"/>
      <c r="Q432" s="5"/>
      <c r="R432" s="5"/>
      <c r="S432" s="5"/>
    </row>
    <row r="433" spans="1:19" x14ac:dyDescent="0.75">
      <c r="A433" t="s">
        <v>101</v>
      </c>
      <c r="B433" s="63">
        <f>Comparisons!H23</f>
        <v>3</v>
      </c>
      <c r="C433" s="12" t="s">
        <v>80</v>
      </c>
      <c r="D433" s="3"/>
      <c r="E433" s="3"/>
      <c r="F433" s="4"/>
      <c r="G433" s="3"/>
      <c r="H433" s="5"/>
      <c r="I433" s="3"/>
      <c r="J433" s="3"/>
      <c r="K433" s="3"/>
      <c r="L433" s="3"/>
      <c r="M433" s="3"/>
      <c r="N433" s="3"/>
      <c r="O433" s="5"/>
      <c r="P433" s="3"/>
      <c r="Q433" s="5"/>
      <c r="R433" s="5"/>
      <c r="S433" s="5"/>
    </row>
    <row r="434" spans="1:19" x14ac:dyDescent="0.75">
      <c r="A434" t="s">
        <v>37</v>
      </c>
      <c r="B434" s="5">
        <f>B431*B429+B430*B429*(B420/100)</f>
        <v>26.259999999999998</v>
      </c>
      <c r="C434" s="12" t="s">
        <v>81</v>
      </c>
      <c r="D434" s="3"/>
      <c r="E434" s="3"/>
      <c r="F434" s="4"/>
      <c r="G434" s="3"/>
      <c r="H434" s="5"/>
      <c r="I434" s="3"/>
      <c r="J434" s="3"/>
      <c r="K434" s="3"/>
      <c r="L434" s="3"/>
      <c r="M434" s="3"/>
      <c r="N434" s="3"/>
      <c r="O434" s="5"/>
      <c r="P434" s="3"/>
      <c r="Q434" s="5"/>
      <c r="R434" s="5"/>
      <c r="S434" s="5"/>
    </row>
    <row r="435" spans="1:19" x14ac:dyDescent="0.75">
      <c r="A435" t="s">
        <v>38</v>
      </c>
      <c r="B435" s="5">
        <f>B432*B420/100+B433*(1-B420/100)</f>
        <v>7.6999999999999993</v>
      </c>
      <c r="C435" s="12" t="s">
        <v>81</v>
      </c>
      <c r="D435" s="3"/>
      <c r="E435" s="3"/>
      <c r="F435" s="4"/>
      <c r="G435" s="3"/>
      <c r="H435" s="5"/>
      <c r="I435" s="3"/>
      <c r="J435" s="3"/>
      <c r="K435" s="3"/>
      <c r="L435" s="3"/>
      <c r="M435" s="3"/>
      <c r="N435" s="3"/>
      <c r="O435" s="5"/>
      <c r="P435" s="3"/>
      <c r="Q435" s="5"/>
      <c r="R435" s="5"/>
      <c r="S435" s="5"/>
    </row>
    <row r="436" spans="1:19" x14ac:dyDescent="0.75">
      <c r="A436" t="s">
        <v>68</v>
      </c>
      <c r="B436" s="5">
        <f>SUM(B434:B435)</f>
        <v>33.959999999999994</v>
      </c>
      <c r="C436" s="12" t="s">
        <v>81</v>
      </c>
      <c r="D436" s="3"/>
      <c r="E436" s="3"/>
      <c r="F436" s="4"/>
      <c r="G436" s="3"/>
      <c r="H436" s="5"/>
      <c r="I436" s="3"/>
      <c r="J436" s="3"/>
      <c r="K436" s="3"/>
      <c r="L436" s="3"/>
      <c r="M436" s="3"/>
      <c r="N436" s="3"/>
      <c r="O436" s="5"/>
      <c r="P436" s="3"/>
      <c r="Q436" s="5"/>
      <c r="R436" s="5"/>
      <c r="S436" s="5"/>
    </row>
    <row r="437" spans="1:19" s="2" customFormat="1" x14ac:dyDescent="0.75">
      <c r="A437" s="2" t="s">
        <v>39</v>
      </c>
      <c r="B437" s="26">
        <f>B436/B426</f>
        <v>22.025434577519604</v>
      </c>
      <c r="C437" s="13" t="s">
        <v>118</v>
      </c>
      <c r="D437" s="6"/>
      <c r="E437" s="6"/>
      <c r="F437" s="7"/>
      <c r="G437" s="6"/>
      <c r="H437" s="8"/>
      <c r="I437" s="6"/>
      <c r="J437" s="6"/>
      <c r="K437" s="6"/>
      <c r="L437" s="6"/>
      <c r="M437" s="6"/>
      <c r="N437" s="6"/>
      <c r="O437" s="8"/>
      <c r="P437" s="6"/>
      <c r="Q437" s="8"/>
      <c r="R437" s="8"/>
      <c r="S437" s="8"/>
    </row>
    <row r="438" spans="1:19" s="2" customFormat="1" x14ac:dyDescent="0.75">
      <c r="B438" s="29"/>
      <c r="C438" s="13"/>
      <c r="D438" s="6"/>
      <c r="E438" s="6"/>
      <c r="F438" s="7"/>
      <c r="G438" s="6"/>
      <c r="H438" s="8"/>
      <c r="I438" s="6"/>
      <c r="J438" s="6"/>
      <c r="K438" s="6"/>
      <c r="L438" s="6"/>
      <c r="M438" s="6"/>
      <c r="N438" s="6"/>
      <c r="O438" s="8"/>
      <c r="P438" s="6"/>
      <c r="Q438" s="8"/>
      <c r="R438" s="8"/>
      <c r="S438" s="8"/>
    </row>
    <row r="439" spans="1:19" s="2" customFormat="1" x14ac:dyDescent="0.75">
      <c r="A439" s="1" t="s">
        <v>103</v>
      </c>
      <c r="B439" s="29"/>
      <c r="C439" s="13"/>
      <c r="D439" s="6"/>
      <c r="E439" s="6"/>
      <c r="F439" s="7"/>
      <c r="G439" s="6"/>
      <c r="H439" s="8"/>
      <c r="I439" s="6"/>
      <c r="J439" s="6"/>
      <c r="K439" s="6"/>
      <c r="L439" s="6"/>
      <c r="M439" s="6"/>
      <c r="N439" s="6"/>
      <c r="O439" s="8"/>
      <c r="P439" s="6"/>
      <c r="Q439" s="8"/>
      <c r="R439" s="8"/>
      <c r="S439" s="8"/>
    </row>
    <row r="440" spans="1:19" s="2" customFormat="1" x14ac:dyDescent="0.75">
      <c r="A440" s="30" t="s">
        <v>104</v>
      </c>
      <c r="B440" s="33">
        <f>Comparisons!H24</f>
        <v>15</v>
      </c>
      <c r="C440" s="32" t="s">
        <v>105</v>
      </c>
      <c r="D440" s="6"/>
      <c r="E440" s="6"/>
      <c r="F440" s="7"/>
      <c r="G440" s="6"/>
      <c r="H440" s="8"/>
      <c r="I440" s="6"/>
      <c r="J440" s="6"/>
      <c r="K440" s="6"/>
      <c r="L440" s="6"/>
      <c r="M440" s="6"/>
      <c r="N440" s="6"/>
      <c r="O440" s="8"/>
      <c r="P440" s="6"/>
      <c r="Q440" s="8"/>
      <c r="R440" s="8"/>
      <c r="S440" s="8"/>
    </row>
    <row r="441" spans="1:19" s="2" customFormat="1" x14ac:dyDescent="0.75">
      <c r="A441" s="30" t="s">
        <v>106</v>
      </c>
      <c r="B441" s="33">
        <f>Comparisons!H25</f>
        <v>6.5000000000000002E-2</v>
      </c>
      <c r="C441" s="32" t="s">
        <v>52</v>
      </c>
      <c r="D441" s="6"/>
      <c r="E441" s="6"/>
      <c r="F441" s="7"/>
      <c r="G441" s="6"/>
      <c r="H441" s="8"/>
      <c r="I441" s="6"/>
      <c r="J441" s="6"/>
      <c r="K441" s="6"/>
      <c r="L441" s="6"/>
      <c r="M441" s="6"/>
      <c r="N441" s="6"/>
      <c r="O441" s="8"/>
      <c r="P441" s="6"/>
      <c r="Q441" s="8"/>
      <c r="R441" s="8"/>
      <c r="S441" s="8"/>
    </row>
    <row r="442" spans="1:19" s="2" customFormat="1" x14ac:dyDescent="0.75">
      <c r="A442" s="30" t="s">
        <v>110</v>
      </c>
      <c r="B442" s="33">
        <f>Comparisons!H26</f>
        <v>115</v>
      </c>
      <c r="C442" s="30" t="s">
        <v>54</v>
      </c>
      <c r="D442" s="6"/>
      <c r="E442" s="6"/>
      <c r="F442" s="7"/>
      <c r="G442" s="6"/>
      <c r="H442" s="8"/>
      <c r="I442" s="6"/>
      <c r="J442" s="6"/>
      <c r="K442" s="6"/>
      <c r="L442" s="6"/>
      <c r="M442" s="6"/>
      <c r="N442" s="6"/>
      <c r="O442" s="8"/>
      <c r="P442" s="6"/>
      <c r="Q442" s="8"/>
      <c r="R442" s="8"/>
      <c r="S442" s="8"/>
    </row>
    <row r="443" spans="1:19" s="2" customFormat="1" x14ac:dyDescent="0.75">
      <c r="A443" s="30" t="s">
        <v>107</v>
      </c>
      <c r="B443" s="33">
        <f>Comparisons!H27</f>
        <v>230</v>
      </c>
      <c r="C443" s="32" t="s">
        <v>10</v>
      </c>
      <c r="D443" s="6"/>
      <c r="E443" s="6"/>
      <c r="F443" s="7"/>
      <c r="G443" s="6"/>
      <c r="H443" s="8"/>
      <c r="I443" s="6"/>
      <c r="J443" s="6"/>
      <c r="K443" s="6"/>
      <c r="L443" s="6"/>
      <c r="M443" s="6"/>
      <c r="N443" s="6"/>
      <c r="O443" s="8"/>
      <c r="P443" s="6"/>
      <c r="Q443" s="8"/>
      <c r="R443" s="8"/>
      <c r="S443" s="8"/>
    </row>
    <row r="444" spans="1:19" s="2" customFormat="1" x14ac:dyDescent="0.75">
      <c r="A444" s="30" t="s">
        <v>108</v>
      </c>
      <c r="B444" s="31">
        <f>0.032*(B442-B402)/(LN(B442/B402)/(B443-B403))*B441</f>
        <v>26.317478616268733</v>
      </c>
      <c r="C444" s="32" t="s">
        <v>109</v>
      </c>
      <c r="D444" s="6"/>
      <c r="E444" s="6"/>
      <c r="F444" s="7"/>
      <c r="G444" s="6"/>
      <c r="H444" s="8"/>
      <c r="I444" s="6"/>
      <c r="J444" s="6"/>
      <c r="K444" s="6"/>
      <c r="L444" s="6"/>
      <c r="M444" s="6"/>
      <c r="N444" s="6"/>
      <c r="O444" s="8"/>
      <c r="P444" s="6"/>
      <c r="Q444" s="8"/>
      <c r="R444" s="8"/>
      <c r="S444" s="8"/>
    </row>
    <row r="445" spans="1:19" s="2" customFormat="1" x14ac:dyDescent="0.75">
      <c r="A445" s="41" t="s">
        <v>108</v>
      </c>
      <c r="B445" s="26">
        <f>B444*(B440/100)</f>
        <v>3.9476217924403096</v>
      </c>
      <c r="C445" s="13" t="s">
        <v>119</v>
      </c>
      <c r="D445" s="6"/>
      <c r="E445" s="6"/>
      <c r="F445" s="7"/>
      <c r="G445" s="6"/>
      <c r="H445" s="8"/>
      <c r="I445" s="6"/>
      <c r="J445" s="6"/>
      <c r="K445" s="6"/>
      <c r="L445" s="6"/>
      <c r="M445" s="6"/>
      <c r="N445" s="6"/>
      <c r="O445" s="8"/>
      <c r="P445" s="6"/>
      <c r="Q445" s="8"/>
      <c r="R445" s="8"/>
      <c r="S445" s="8"/>
    </row>
    <row r="446" spans="1:19" s="36" customFormat="1" x14ac:dyDescent="0.75">
      <c r="A446" s="41"/>
      <c r="B446" s="29"/>
      <c r="C446" s="37"/>
      <c r="D446" s="42"/>
      <c r="E446" s="42"/>
      <c r="F446" s="43"/>
      <c r="G446" s="42"/>
      <c r="H446" s="29"/>
      <c r="I446" s="42"/>
      <c r="J446" s="42"/>
      <c r="K446" s="42"/>
      <c r="L446" s="42"/>
      <c r="M446" s="42"/>
      <c r="N446" s="42"/>
      <c r="O446" s="29"/>
      <c r="P446" s="42"/>
      <c r="Q446" s="29"/>
      <c r="R446" s="29"/>
      <c r="S446" s="29"/>
    </row>
    <row r="447" spans="1:19" s="2" customFormat="1" x14ac:dyDescent="0.75">
      <c r="A447" s="40" t="s">
        <v>114</v>
      </c>
      <c r="B447" s="44">
        <f>Comparisons!H28</f>
        <v>10</v>
      </c>
      <c r="C447" s="32" t="s">
        <v>109</v>
      </c>
      <c r="D447" s="6"/>
      <c r="E447" s="6"/>
      <c r="F447" s="7"/>
      <c r="G447" s="6"/>
      <c r="H447" s="8"/>
      <c r="I447" s="6"/>
      <c r="J447" s="6"/>
      <c r="K447" s="6"/>
      <c r="L447" s="6"/>
      <c r="M447" s="6"/>
      <c r="N447" s="6"/>
      <c r="O447" s="8"/>
      <c r="P447" s="6"/>
      <c r="Q447" s="8"/>
      <c r="R447" s="8"/>
      <c r="S447" s="8"/>
    </row>
    <row r="448" spans="1:19" s="2" customFormat="1" x14ac:dyDescent="0.75">
      <c r="A448" s="41" t="s">
        <v>114</v>
      </c>
      <c r="B448" s="26">
        <f>B447*(B440/100)</f>
        <v>1.5</v>
      </c>
      <c r="C448" s="13" t="s">
        <v>119</v>
      </c>
      <c r="D448" s="6"/>
      <c r="E448" s="6"/>
      <c r="F448" s="7"/>
      <c r="G448" s="6"/>
      <c r="H448" s="8"/>
      <c r="I448" s="6"/>
      <c r="J448" s="6"/>
      <c r="K448" s="6"/>
      <c r="L448" s="6"/>
      <c r="M448" s="6"/>
      <c r="N448" s="6"/>
      <c r="O448" s="8"/>
      <c r="P448" s="6"/>
      <c r="Q448" s="8"/>
      <c r="R448" s="8"/>
      <c r="S448" s="8"/>
    </row>
    <row r="449" spans="1:19" s="2" customFormat="1" x14ac:dyDescent="0.75">
      <c r="A449" s="41"/>
      <c r="B449" s="29"/>
      <c r="C449" s="13"/>
      <c r="D449" s="6"/>
      <c r="E449" s="6"/>
      <c r="F449" s="7"/>
      <c r="G449" s="6"/>
      <c r="H449" s="8"/>
      <c r="I449" s="6"/>
      <c r="J449" s="6"/>
      <c r="K449" s="6"/>
      <c r="L449" s="6"/>
      <c r="M449" s="6"/>
      <c r="N449" s="6"/>
      <c r="O449" s="8"/>
      <c r="P449" s="6"/>
      <c r="Q449" s="8"/>
      <c r="R449" s="8"/>
      <c r="S449" s="8"/>
    </row>
    <row r="450" spans="1:19" s="2" customFormat="1" x14ac:dyDescent="0.75">
      <c r="A450" s="38" t="s">
        <v>111</v>
      </c>
      <c r="B450" s="34">
        <f>Comparisons!H29</f>
        <v>0.75</v>
      </c>
      <c r="C450" s="39" t="s">
        <v>112</v>
      </c>
      <c r="D450" s="6"/>
      <c r="E450" s="6"/>
      <c r="F450" s="7"/>
      <c r="G450" s="6"/>
      <c r="H450" s="8"/>
      <c r="I450" s="6"/>
      <c r="J450" s="6"/>
      <c r="K450" s="6"/>
      <c r="L450" s="6"/>
      <c r="M450" s="6"/>
      <c r="N450" s="6"/>
      <c r="O450" s="8"/>
      <c r="P450" s="6"/>
      <c r="Q450" s="8"/>
      <c r="R450" s="8"/>
      <c r="S450" s="8"/>
    </row>
    <row r="451" spans="1:19" s="2" customFormat="1" x14ac:dyDescent="0.75">
      <c r="A451" s="41" t="s">
        <v>113</v>
      </c>
      <c r="B451" s="45">
        <f>B450*B416*B440/100/B426</f>
        <v>12.768720354679543</v>
      </c>
      <c r="C451" s="13" t="s">
        <v>119</v>
      </c>
      <c r="D451" s="6"/>
      <c r="E451" s="6"/>
      <c r="F451" s="7"/>
      <c r="G451" s="6"/>
      <c r="H451" s="8"/>
      <c r="I451" s="6"/>
      <c r="J451" s="6"/>
      <c r="K451" s="6"/>
      <c r="L451" s="6"/>
      <c r="M451" s="6"/>
      <c r="N451" s="6"/>
      <c r="O451" s="8"/>
      <c r="P451" s="6"/>
      <c r="Q451" s="8"/>
      <c r="R451" s="8"/>
      <c r="S451" s="8"/>
    </row>
    <row r="453" spans="1:19" x14ac:dyDescent="0.75">
      <c r="A453" s="1" t="s">
        <v>88</v>
      </c>
      <c r="B453" s="3"/>
      <c r="C453" s="3"/>
      <c r="D453" s="90" t="s">
        <v>127</v>
      </c>
      <c r="E453" s="90"/>
      <c r="F453" s="90"/>
      <c r="G453" s="86" t="s">
        <v>123</v>
      </c>
      <c r="H453" s="86"/>
      <c r="I453" s="86"/>
      <c r="J453" s="86"/>
      <c r="K453" s="87" t="s">
        <v>124</v>
      </c>
      <c r="L453" s="88"/>
      <c r="M453" s="88"/>
      <c r="N453" s="88"/>
      <c r="O453" s="89"/>
      <c r="P453" s="91" t="s">
        <v>130</v>
      </c>
      <c r="Q453" s="92"/>
      <c r="R453" s="92"/>
      <c r="S453" s="93"/>
    </row>
    <row r="454" spans="1:19" x14ac:dyDescent="0.75">
      <c r="A454" s="3" t="s">
        <v>0</v>
      </c>
      <c r="B454" s="3" t="s">
        <v>40</v>
      </c>
      <c r="C454" s="3" t="s">
        <v>6</v>
      </c>
      <c r="D454" s="3" t="s">
        <v>3</v>
      </c>
      <c r="E454" s="3" t="s">
        <v>2</v>
      </c>
      <c r="F454" s="3" t="s">
        <v>5</v>
      </c>
      <c r="G454" s="3" t="s">
        <v>8</v>
      </c>
      <c r="H454" s="3" t="s">
        <v>69</v>
      </c>
      <c r="I454" s="3" t="s">
        <v>126</v>
      </c>
      <c r="J454" s="3" t="s">
        <v>125</v>
      </c>
      <c r="K454" s="3" t="s">
        <v>50</v>
      </c>
      <c r="L454" s="3" t="s">
        <v>22</v>
      </c>
      <c r="M454" s="3" t="s">
        <v>7</v>
      </c>
      <c r="N454" s="3" t="s">
        <v>51</v>
      </c>
      <c r="O454" s="3" t="s">
        <v>21</v>
      </c>
      <c r="P454" s="3" t="s">
        <v>8</v>
      </c>
      <c r="Q454" s="3" t="s">
        <v>69</v>
      </c>
      <c r="R454" s="3" t="s">
        <v>126</v>
      </c>
      <c r="S454" s="3" t="s">
        <v>125</v>
      </c>
    </row>
    <row r="455" spans="1:19" x14ac:dyDescent="0.75">
      <c r="A455" s="3" t="s">
        <v>24</v>
      </c>
      <c r="B455" s="3" t="s">
        <v>25</v>
      </c>
      <c r="C455" s="3" t="s">
        <v>10</v>
      </c>
      <c r="D455" s="3" t="s">
        <v>12</v>
      </c>
      <c r="E455" s="3" t="s">
        <v>17</v>
      </c>
      <c r="F455" s="3" t="s">
        <v>52</v>
      </c>
      <c r="G455" s="3" t="s">
        <v>23</v>
      </c>
      <c r="H455" s="3" t="s">
        <v>86</v>
      </c>
      <c r="I455" s="3" t="s">
        <v>23</v>
      </c>
      <c r="J455" s="3" t="s">
        <v>87</v>
      </c>
      <c r="K455" s="3" t="s">
        <v>76</v>
      </c>
      <c r="L455" s="3" t="s">
        <v>76</v>
      </c>
      <c r="M455" s="3" t="s">
        <v>23</v>
      </c>
      <c r="N455" s="3" t="s">
        <v>23</v>
      </c>
      <c r="O455" s="3" t="s">
        <v>25</v>
      </c>
      <c r="P455" s="3" t="s">
        <v>23</v>
      </c>
      <c r="Q455" s="3" t="s">
        <v>86</v>
      </c>
      <c r="R455" s="3" t="s">
        <v>23</v>
      </c>
      <c r="S455" s="3" t="s">
        <v>23</v>
      </c>
    </row>
    <row r="456" spans="1:19" x14ac:dyDescent="0.75">
      <c r="A456" s="5">
        <f>B402</f>
        <v>48</v>
      </c>
      <c r="B456" s="5">
        <f>A456/$B$416*100</f>
        <v>27.428571428571431</v>
      </c>
      <c r="C456" s="5">
        <f>B403</f>
        <v>65</v>
      </c>
      <c r="D456" s="67">
        <f>Finishing!D4</f>
        <v>0.7995812722283262</v>
      </c>
      <c r="E456" s="67">
        <f>Finishing!E4</f>
        <v>2.9890645053996687</v>
      </c>
      <c r="F456" s="67">
        <f>Finishing!F4</f>
        <v>0.115</v>
      </c>
      <c r="G456" s="67">
        <f>Finishing!G4</f>
        <v>0.85</v>
      </c>
      <c r="H456" s="67">
        <f>Finishing!H4</f>
        <v>0.3</v>
      </c>
      <c r="I456" s="67">
        <f>Finishing!I4</f>
        <v>1</v>
      </c>
      <c r="J456" s="67">
        <f>Finishing!J4</f>
        <v>2E-3</v>
      </c>
      <c r="K456" s="67">
        <f>Finishing!K4</f>
        <v>2</v>
      </c>
      <c r="L456" s="67">
        <f>Finishing!L4</f>
        <v>4</v>
      </c>
      <c r="M456" s="67">
        <f>Finishing!M4</f>
        <v>0</v>
      </c>
      <c r="N456" s="67">
        <f>Finishing!N4</f>
        <v>2</v>
      </c>
      <c r="O456" s="67">
        <f>Finishing!O4</f>
        <v>5</v>
      </c>
      <c r="P456" s="5">
        <f>G456</f>
        <v>0.85</v>
      </c>
      <c r="Q456" s="5">
        <f>H456</f>
        <v>0.3</v>
      </c>
      <c r="R456" s="5">
        <f>I456</f>
        <v>1</v>
      </c>
      <c r="S456" s="5">
        <f>J456*(C457-C456)*$B$429</f>
        <v>0.25013092095394712</v>
      </c>
    </row>
    <row r="457" spans="1:19" x14ac:dyDescent="0.75">
      <c r="A457" s="5">
        <f>A456+10</f>
        <v>58</v>
      </c>
      <c r="B457" s="5">
        <f t="shared" ref="B457:B470" si="94">A457/$B$416*100</f>
        <v>33.142857142857139</v>
      </c>
      <c r="C457" s="5">
        <f>C456+(A457-A456)/D456</f>
        <v>77.506546047697356</v>
      </c>
      <c r="D457" s="67">
        <f>Finishing!D5</f>
        <v>0.80548945537627681</v>
      </c>
      <c r="E457" s="67">
        <f>Finishing!E5</f>
        <v>3.4115902842158219</v>
      </c>
      <c r="F457" s="67">
        <f>Finishing!F5</f>
        <v>0.115</v>
      </c>
      <c r="G457" s="67">
        <f>Finishing!G5</f>
        <v>0</v>
      </c>
      <c r="H457" s="67">
        <f>Finishing!H5</f>
        <v>0.3</v>
      </c>
      <c r="I457" s="67">
        <f>Finishing!I5</f>
        <v>0.4</v>
      </c>
      <c r="J457" s="67">
        <f>Finishing!J5</f>
        <v>2E-3</v>
      </c>
      <c r="K457" s="67">
        <f>Finishing!K5</f>
        <v>2.1</v>
      </c>
      <c r="L457" s="67">
        <f>Finishing!L5</f>
        <v>4</v>
      </c>
      <c r="M457" s="67">
        <f>Finishing!M5</f>
        <v>0</v>
      </c>
      <c r="N457" s="67">
        <f>Finishing!N5</f>
        <v>2</v>
      </c>
      <c r="O457" s="67">
        <f>Finishing!O5</f>
        <v>5</v>
      </c>
      <c r="P457" s="5">
        <f>P456+G457</f>
        <v>0.85</v>
      </c>
      <c r="Q457" s="5">
        <f>H457+Q456</f>
        <v>0.6</v>
      </c>
      <c r="R457" s="5">
        <f>I457+R456</f>
        <v>1.4</v>
      </c>
      <c r="S457" s="5">
        <f>J457*(C458-C457)*$B$429+S456</f>
        <v>0.49842715706863572</v>
      </c>
    </row>
    <row r="458" spans="1:19" x14ac:dyDescent="0.75">
      <c r="A458" s="5">
        <f t="shared" ref="A458:A470" si="95">A457+10</f>
        <v>68</v>
      </c>
      <c r="B458" s="5">
        <f t="shared" si="94"/>
        <v>38.857142857142854</v>
      </c>
      <c r="C458" s="5">
        <f t="shared" ref="C458:C470" si="96">C457+(A458-A457)/D457</f>
        <v>89.921357853431786</v>
      </c>
      <c r="D458" s="67">
        <f>Finishing!D6</f>
        <v>0.77446414795503105</v>
      </c>
      <c r="E458" s="67">
        <f>Finishing!E6</f>
        <v>3.95886627947305</v>
      </c>
      <c r="F458" s="67">
        <f>Finishing!F6</f>
        <v>0.115</v>
      </c>
      <c r="G458" s="67">
        <f>Finishing!G6</f>
        <v>0</v>
      </c>
      <c r="H458" s="67">
        <f>Finishing!H6</f>
        <v>0.2</v>
      </c>
      <c r="I458" s="67">
        <f>Finishing!I6</f>
        <v>0.4</v>
      </c>
      <c r="J458" s="67">
        <f>Finishing!J6</f>
        <v>2E-3</v>
      </c>
      <c r="K458" s="67">
        <f>Finishing!K6</f>
        <v>2.2000000000000002</v>
      </c>
      <c r="L458" s="67">
        <f>Finishing!L6</f>
        <v>4.5</v>
      </c>
      <c r="M458" s="67">
        <f>Finishing!M6</f>
        <v>0</v>
      </c>
      <c r="N458" s="67">
        <f>Finishing!N6</f>
        <v>2</v>
      </c>
      <c r="O458" s="67">
        <f>Finishing!O6</f>
        <v>5</v>
      </c>
      <c r="P458" s="5">
        <f t="shared" ref="P458:P470" si="97">P457+G458</f>
        <v>0.85</v>
      </c>
      <c r="Q458" s="5">
        <f t="shared" ref="Q458:Q470" si="98">H458+Q457</f>
        <v>0.8</v>
      </c>
      <c r="R458" s="5">
        <f t="shared" ref="R458:R470" si="99">I458+R457</f>
        <v>1.7999999999999998</v>
      </c>
      <c r="S458" s="5">
        <f t="shared" ref="S458:S469" si="100">J458*(C459-C458)*$B$429+S457</f>
        <v>0.75667022813667562</v>
      </c>
    </row>
    <row r="459" spans="1:19" x14ac:dyDescent="0.75">
      <c r="A459" s="5">
        <f t="shared" si="95"/>
        <v>78</v>
      </c>
      <c r="B459" s="5">
        <f t="shared" si="94"/>
        <v>44.571428571428569</v>
      </c>
      <c r="C459" s="5">
        <f t="shared" si="96"/>
        <v>102.83351140683378</v>
      </c>
      <c r="D459" s="67">
        <f>Finishing!D7</f>
        <v>0.72062550635879374</v>
      </c>
      <c r="E459" s="67">
        <f>Finishing!E7</f>
        <v>4.6404130446293825</v>
      </c>
      <c r="F459" s="67">
        <f>Finishing!F7</f>
        <v>0.115</v>
      </c>
      <c r="G459" s="67">
        <f>Finishing!G7</f>
        <v>0</v>
      </c>
      <c r="H459" s="67">
        <f>Finishing!H7</f>
        <v>0.2</v>
      </c>
      <c r="I459" s="67">
        <f>Finishing!I7</f>
        <v>0.4</v>
      </c>
      <c r="J459" s="67">
        <f>Finishing!J7</f>
        <v>2E-3</v>
      </c>
      <c r="K459" s="67">
        <f>Finishing!K7</f>
        <v>2.2999999999999998</v>
      </c>
      <c r="L459" s="67">
        <f>Finishing!L7</f>
        <v>4.5</v>
      </c>
      <c r="M459" s="67">
        <f>Finishing!M7</f>
        <v>0</v>
      </c>
      <c r="N459" s="67">
        <f>Finishing!N7</f>
        <v>2</v>
      </c>
      <c r="O459" s="67">
        <f>Finishing!O7</f>
        <v>5</v>
      </c>
      <c r="P459" s="5">
        <f t="shared" si="97"/>
        <v>0.85</v>
      </c>
      <c r="Q459" s="5">
        <f t="shared" si="98"/>
        <v>1</v>
      </c>
      <c r="R459" s="5">
        <f t="shared" si="99"/>
        <v>2.1999999999999997</v>
      </c>
      <c r="S459" s="5">
        <f t="shared" si="100"/>
        <v>1.0342068934853228</v>
      </c>
    </row>
    <row r="460" spans="1:19" x14ac:dyDescent="0.75">
      <c r="A460" s="5">
        <f t="shared" si="95"/>
        <v>88</v>
      </c>
      <c r="B460" s="5">
        <f t="shared" si="94"/>
        <v>50.285714285714292</v>
      </c>
      <c r="C460" s="5">
        <f t="shared" si="96"/>
        <v>116.71034467426614</v>
      </c>
      <c r="D460" s="67">
        <f>Finishing!D8</f>
        <v>0.65537759149894059</v>
      </c>
      <c r="E460" s="67">
        <f>Finishing!E8</f>
        <v>5.4655515331359776</v>
      </c>
      <c r="F460" s="67">
        <f>Finishing!F8</f>
        <v>0.115</v>
      </c>
      <c r="G460" s="67">
        <f>Finishing!G8</f>
        <v>0</v>
      </c>
      <c r="H460" s="67">
        <f>Finishing!H8</f>
        <v>0.15</v>
      </c>
      <c r="I460" s="67">
        <f>Finishing!I8</f>
        <v>0.4</v>
      </c>
      <c r="J460" s="67">
        <f>Finishing!J8</f>
        <v>2E-3</v>
      </c>
      <c r="K460" s="67">
        <f>Finishing!K8</f>
        <v>2.4</v>
      </c>
      <c r="L460" s="67">
        <f>Finishing!L8</f>
        <v>5</v>
      </c>
      <c r="M460" s="67">
        <f>Finishing!M8</f>
        <v>0</v>
      </c>
      <c r="N460" s="67">
        <f>Finishing!N8</f>
        <v>2</v>
      </c>
      <c r="O460" s="67">
        <f>Finishing!O8</f>
        <v>4</v>
      </c>
      <c r="P460" s="5">
        <f t="shared" si="97"/>
        <v>0.85</v>
      </c>
      <c r="Q460" s="5">
        <f t="shared" si="98"/>
        <v>1.1499999999999999</v>
      </c>
      <c r="R460" s="5">
        <f t="shared" si="99"/>
        <v>2.5999999999999996</v>
      </c>
      <c r="S460" s="5">
        <f t="shared" si="100"/>
        <v>1.33937448327516</v>
      </c>
    </row>
    <row r="461" spans="1:19" x14ac:dyDescent="0.75">
      <c r="A461" s="5">
        <f t="shared" si="95"/>
        <v>98</v>
      </c>
      <c r="B461" s="5">
        <f t="shared" si="94"/>
        <v>56.000000000000007</v>
      </c>
      <c r="C461" s="5">
        <f t="shared" si="96"/>
        <v>131.968724163758</v>
      </c>
      <c r="D461" s="67">
        <f>Finishing!D9</f>
        <v>0.58663869534177293</v>
      </c>
      <c r="E461" s="67">
        <f>Finishing!E9</f>
        <v>6.4434890333952319</v>
      </c>
      <c r="F461" s="67">
        <f>Finishing!F9</f>
        <v>0.11</v>
      </c>
      <c r="G461" s="67">
        <f>Finishing!G9</f>
        <v>0</v>
      </c>
      <c r="H461" s="67">
        <f>Finishing!H9</f>
        <v>0.15</v>
      </c>
      <c r="I461" s="67">
        <f>Finishing!I9</f>
        <v>0.4</v>
      </c>
      <c r="J461" s="67">
        <f>Finishing!J9</f>
        <v>2E-3</v>
      </c>
      <c r="K461" s="67">
        <f>Finishing!K9</f>
        <v>2.5</v>
      </c>
      <c r="L461" s="67">
        <f>Finishing!L9</f>
        <v>5</v>
      </c>
      <c r="M461" s="67">
        <f>Finishing!M9</f>
        <v>0</v>
      </c>
      <c r="N461" s="67">
        <f>Finishing!N9</f>
        <v>2</v>
      </c>
      <c r="O461" s="67">
        <f>Finishing!O9</f>
        <v>4</v>
      </c>
      <c r="P461" s="5">
        <f t="shared" si="97"/>
        <v>0.85</v>
      </c>
      <c r="Q461" s="5">
        <f t="shared" si="98"/>
        <v>1.2999999999999998</v>
      </c>
      <c r="R461" s="5">
        <f t="shared" si="99"/>
        <v>2.9999999999999996</v>
      </c>
      <c r="S461" s="5">
        <f t="shared" si="100"/>
        <v>1.6802998289574476</v>
      </c>
    </row>
    <row r="462" spans="1:19" x14ac:dyDescent="0.75">
      <c r="A462" s="5">
        <f t="shared" si="95"/>
        <v>108</v>
      </c>
      <c r="B462" s="5">
        <f t="shared" si="94"/>
        <v>61.714285714285708</v>
      </c>
      <c r="C462" s="5">
        <f t="shared" si="96"/>
        <v>149.01499144787238</v>
      </c>
      <c r="D462" s="67">
        <f>Finishing!D10</f>
        <v>0.51923926932535602</v>
      </c>
      <c r="E462" s="67">
        <f>Finishing!E10</f>
        <v>7.5841721392078352</v>
      </c>
      <c r="F462" s="67">
        <f>Finishing!F10</f>
        <v>0.11</v>
      </c>
      <c r="G462" s="67">
        <f>Finishing!G10</f>
        <v>0.85</v>
      </c>
      <c r="H462" s="67">
        <f>Finishing!H10</f>
        <v>0.15</v>
      </c>
      <c r="I462" s="67">
        <f>Finishing!I10</f>
        <v>0.4</v>
      </c>
      <c r="J462" s="67">
        <f>Finishing!J10</f>
        <v>2E-3</v>
      </c>
      <c r="K462" s="67">
        <f>Finishing!K10</f>
        <v>2.6</v>
      </c>
      <c r="L462" s="67">
        <f>Finishing!L10</f>
        <v>5.5</v>
      </c>
      <c r="M462" s="67">
        <f>Finishing!M10</f>
        <v>0</v>
      </c>
      <c r="N462" s="67">
        <f>Finishing!N10</f>
        <v>2</v>
      </c>
      <c r="O462" s="67">
        <f>Finishing!O10</f>
        <v>4</v>
      </c>
      <c r="P462" s="5">
        <f t="shared" si="97"/>
        <v>1.7</v>
      </c>
      <c r="Q462" s="5">
        <f t="shared" si="98"/>
        <v>1.4499999999999997</v>
      </c>
      <c r="R462" s="5">
        <f t="shared" si="99"/>
        <v>3.3999999999999995</v>
      </c>
      <c r="S462" s="5">
        <f t="shared" si="100"/>
        <v>2.0654787085515478</v>
      </c>
    </row>
    <row r="463" spans="1:19" x14ac:dyDescent="0.75">
      <c r="A463" s="5">
        <f t="shared" si="95"/>
        <v>118</v>
      </c>
      <c r="B463" s="5">
        <f t="shared" si="94"/>
        <v>67.428571428571431</v>
      </c>
      <c r="C463" s="5">
        <f t="shared" si="96"/>
        <v>168.27393542757738</v>
      </c>
      <c r="D463" s="67">
        <f>Finishing!D11</f>
        <v>0.45573186334741117</v>
      </c>
      <c r="E463" s="67">
        <f>Finishing!E11</f>
        <v>8.8999701934557311</v>
      </c>
      <c r="F463" s="67">
        <f>Finishing!F11</f>
        <v>0.11</v>
      </c>
      <c r="G463" s="67">
        <f>Finishing!G11</f>
        <v>0</v>
      </c>
      <c r="H463" s="67">
        <f>Finishing!H11</f>
        <v>0.15</v>
      </c>
      <c r="I463" s="67">
        <f>Finishing!I11</f>
        <v>0.4</v>
      </c>
      <c r="J463" s="67">
        <f>Finishing!J11</f>
        <v>2E-3</v>
      </c>
      <c r="K463" s="67">
        <f>Finishing!K11</f>
        <v>2.7</v>
      </c>
      <c r="L463" s="67">
        <f>Finishing!L11</f>
        <v>5.5</v>
      </c>
      <c r="M463" s="67">
        <f>Finishing!M11</f>
        <v>0</v>
      </c>
      <c r="N463" s="67">
        <f>Finishing!N11</f>
        <v>2</v>
      </c>
      <c r="O463" s="67">
        <f>Finishing!O11</f>
        <v>4</v>
      </c>
      <c r="P463" s="5">
        <f t="shared" si="97"/>
        <v>1.7</v>
      </c>
      <c r="Q463" s="5">
        <f t="shared" si="98"/>
        <v>1.5999999999999996</v>
      </c>
      <c r="R463" s="5">
        <f t="shared" si="99"/>
        <v>3.7999999999999994</v>
      </c>
      <c r="S463" s="5">
        <f t="shared" si="100"/>
        <v>2.5043332545799371</v>
      </c>
    </row>
    <row r="464" spans="1:19" x14ac:dyDescent="0.75">
      <c r="A464" s="5">
        <f t="shared" si="95"/>
        <v>128</v>
      </c>
      <c r="B464" s="5">
        <f t="shared" si="94"/>
        <v>73.142857142857139</v>
      </c>
      <c r="C464" s="5">
        <f t="shared" si="96"/>
        <v>190.21666272899685</v>
      </c>
      <c r="D464" s="67">
        <f>Finishing!D12</f>
        <v>0.39717641305340173</v>
      </c>
      <c r="E464" s="67">
        <f>Finishing!E12</f>
        <v>10.408473071748519</v>
      </c>
      <c r="F464" s="67">
        <f>Finishing!F12</f>
        <v>0.11</v>
      </c>
      <c r="G464" s="67">
        <f>Finishing!G12</f>
        <v>0</v>
      </c>
      <c r="H464" s="67">
        <f>Finishing!H12</f>
        <v>0.15</v>
      </c>
      <c r="I464" s="67">
        <f>Finishing!I12</f>
        <v>0.4</v>
      </c>
      <c r="J464" s="67">
        <f>Finishing!J12</f>
        <v>2E-3</v>
      </c>
      <c r="K464" s="67">
        <f>Finishing!K12</f>
        <v>2.8</v>
      </c>
      <c r="L464" s="67">
        <f>Finishing!L12</f>
        <v>6</v>
      </c>
      <c r="M464" s="67">
        <f>Finishing!M12</f>
        <v>0</v>
      </c>
      <c r="N464" s="67">
        <f>Finishing!N12</f>
        <v>2</v>
      </c>
      <c r="O464" s="67">
        <f>Finishing!O12</f>
        <v>4</v>
      </c>
      <c r="P464" s="5">
        <f t="shared" si="97"/>
        <v>1.7</v>
      </c>
      <c r="Q464" s="5">
        <f t="shared" si="98"/>
        <v>1.7499999999999996</v>
      </c>
      <c r="R464" s="5">
        <f t="shared" si="99"/>
        <v>4.1999999999999993</v>
      </c>
      <c r="S464" s="5">
        <f t="shared" si="100"/>
        <v>3.0078878298943312</v>
      </c>
    </row>
    <row r="465" spans="1:19" x14ac:dyDescent="0.75">
      <c r="A465" s="5">
        <f t="shared" si="95"/>
        <v>138</v>
      </c>
      <c r="B465" s="5">
        <f t="shared" si="94"/>
        <v>78.857142857142861</v>
      </c>
      <c r="C465" s="5">
        <f t="shared" si="96"/>
        <v>215.39439149471656</v>
      </c>
      <c r="D465" s="67">
        <f>Finishing!D13</f>
        <v>0.34374155492040259</v>
      </c>
      <c r="E465" s="67">
        <f>Finishing!E13</f>
        <v>12.137025449151981</v>
      </c>
      <c r="F465" s="67">
        <f>Finishing!F13</f>
        <v>0.11</v>
      </c>
      <c r="G465" s="67">
        <f>Finishing!G13</f>
        <v>0</v>
      </c>
      <c r="H465" s="67">
        <f>Finishing!H13</f>
        <v>0.15</v>
      </c>
      <c r="I465" s="67">
        <f>Finishing!I13</f>
        <v>0.4</v>
      </c>
      <c r="J465" s="67">
        <f>Finishing!J13</f>
        <v>2E-3</v>
      </c>
      <c r="K465" s="67">
        <f>Finishing!K13</f>
        <v>2.9</v>
      </c>
      <c r="L465" s="67">
        <f>Finishing!L13</f>
        <v>6</v>
      </c>
      <c r="M465" s="67">
        <f>Finishing!M13</f>
        <v>0</v>
      </c>
      <c r="N465" s="67">
        <f>Finishing!N13</f>
        <v>2.75</v>
      </c>
      <c r="O465" s="67">
        <f>Finishing!O13</f>
        <v>3</v>
      </c>
      <c r="P465" s="5">
        <f t="shared" si="97"/>
        <v>1.7</v>
      </c>
      <c r="Q465" s="5">
        <f t="shared" si="98"/>
        <v>1.8999999999999995</v>
      </c>
      <c r="R465" s="5">
        <f t="shared" si="99"/>
        <v>4.5999999999999996</v>
      </c>
      <c r="S465" s="5">
        <f t="shared" si="100"/>
        <v>3.5897203058843594</v>
      </c>
    </row>
    <row r="466" spans="1:19" x14ac:dyDescent="0.75">
      <c r="A466" s="5">
        <f t="shared" si="95"/>
        <v>148</v>
      </c>
      <c r="B466" s="5">
        <f t="shared" si="94"/>
        <v>84.571428571428569</v>
      </c>
      <c r="C466" s="5">
        <f t="shared" si="96"/>
        <v>244.48601529421796</v>
      </c>
      <c r="D466" s="67">
        <f>Finishing!D14</f>
        <v>0.29511059472295603</v>
      </c>
      <c r="E466" s="67">
        <f>Finishing!E14</f>
        <v>14.130295809659806</v>
      </c>
      <c r="F466" s="67">
        <f>Finishing!F14</f>
        <v>0.11</v>
      </c>
      <c r="G466" s="67">
        <f>Finishing!G14</f>
        <v>0</v>
      </c>
      <c r="H466" s="67">
        <f>Finishing!H14</f>
        <v>0.15</v>
      </c>
      <c r="I466" s="67">
        <f>Finishing!I14</f>
        <v>0.4</v>
      </c>
      <c r="J466" s="67">
        <f>Finishing!J14</f>
        <v>2E-3</v>
      </c>
      <c r="K466" s="67">
        <f>Finishing!K14</f>
        <v>3</v>
      </c>
      <c r="L466" s="67">
        <f>Finishing!L14</f>
        <v>6.5</v>
      </c>
      <c r="M466" s="67">
        <f>Finishing!M14</f>
        <v>3.5</v>
      </c>
      <c r="N466" s="67">
        <f>Finishing!N14</f>
        <v>2.75</v>
      </c>
      <c r="O466" s="67">
        <f>Finishing!O14</f>
        <v>3</v>
      </c>
      <c r="P466" s="5">
        <f t="shared" si="97"/>
        <v>1.7</v>
      </c>
      <c r="Q466" s="5">
        <f t="shared" si="98"/>
        <v>2.0499999999999994</v>
      </c>
      <c r="R466" s="5">
        <f t="shared" si="99"/>
        <v>5</v>
      </c>
      <c r="S466" s="5">
        <f t="shared" si="100"/>
        <v>4.2674323351246386</v>
      </c>
    </row>
    <row r="467" spans="1:19" x14ac:dyDescent="0.75">
      <c r="A467" s="5">
        <f t="shared" si="95"/>
        <v>158</v>
      </c>
      <c r="B467" s="5">
        <f t="shared" si="94"/>
        <v>90.285714285714278</v>
      </c>
      <c r="C467" s="5">
        <f t="shared" si="96"/>
        <v>278.3716167562319</v>
      </c>
      <c r="D467" s="67">
        <f>Finishing!D15</f>
        <v>0.25073374395891568</v>
      </c>
      <c r="E467" s="67">
        <f>Finishing!E15</f>
        <v>16.463679498505787</v>
      </c>
      <c r="F467" s="67">
        <f>Finishing!F15</f>
        <v>0.11</v>
      </c>
      <c r="G467" s="67">
        <f>Finishing!G15</f>
        <v>0</v>
      </c>
      <c r="H467" s="67">
        <f>Finishing!H15</f>
        <v>0.15</v>
      </c>
      <c r="I467" s="67">
        <f>Finishing!I15</f>
        <v>0.4</v>
      </c>
      <c r="J467" s="67">
        <f>Finishing!J15</f>
        <v>2E-3</v>
      </c>
      <c r="K467" s="67">
        <f>Finishing!K15</f>
        <v>3.1</v>
      </c>
      <c r="L467" s="67">
        <f>Finishing!L15</f>
        <v>6.5</v>
      </c>
      <c r="M467" s="67">
        <f>Finishing!M15</f>
        <v>3.5</v>
      </c>
      <c r="N467" s="67">
        <f>Finishing!N15</f>
        <v>2.75</v>
      </c>
      <c r="O467" s="67">
        <f>Finishing!O15</f>
        <v>3</v>
      </c>
      <c r="P467" s="5">
        <f t="shared" si="97"/>
        <v>1.7</v>
      </c>
      <c r="Q467" s="5">
        <f t="shared" si="98"/>
        <v>2.1999999999999993</v>
      </c>
      <c r="R467" s="5">
        <f t="shared" si="99"/>
        <v>5.4</v>
      </c>
      <c r="S467" s="5">
        <f t="shared" si="100"/>
        <v>5.0650912255561211</v>
      </c>
    </row>
    <row r="468" spans="1:19" x14ac:dyDescent="0.75">
      <c r="A468" s="5">
        <f t="shared" si="95"/>
        <v>168</v>
      </c>
      <c r="B468" s="5">
        <f t="shared" si="94"/>
        <v>96</v>
      </c>
      <c r="C468" s="5">
        <f t="shared" si="96"/>
        <v>318.25456127780603</v>
      </c>
      <c r="D468" s="67">
        <f>Finishing!D16</f>
        <v>0.20997477820430568</v>
      </c>
      <c r="E468" s="67">
        <f>Finishing!E16</f>
        <v>19.268980944288639</v>
      </c>
      <c r="F468" s="67">
        <f>Finishing!F16</f>
        <v>0.11</v>
      </c>
      <c r="G468" s="67">
        <f>Finishing!G16</f>
        <v>0</v>
      </c>
      <c r="H468" s="67">
        <f>Finishing!H16</f>
        <v>0.15</v>
      </c>
      <c r="I468" s="67">
        <f>Finishing!I16</f>
        <v>0.4</v>
      </c>
      <c r="J468" s="67">
        <f>Finishing!J16</f>
        <v>2E-3</v>
      </c>
      <c r="K468" s="67">
        <f>Finishing!K16</f>
        <v>3.2</v>
      </c>
      <c r="L468" s="67">
        <f>Finishing!L16</f>
        <v>6</v>
      </c>
      <c r="M468" s="67">
        <f>Finishing!M16</f>
        <v>3.5</v>
      </c>
      <c r="N468" s="67">
        <f>Finishing!N16</f>
        <v>2.75</v>
      </c>
      <c r="O468" s="67">
        <f>Finishing!O16</f>
        <v>3</v>
      </c>
      <c r="P468" s="5">
        <f t="shared" si="97"/>
        <v>1.7</v>
      </c>
      <c r="Q468" s="5">
        <f t="shared" si="98"/>
        <v>2.3499999999999992</v>
      </c>
      <c r="R468" s="5">
        <f t="shared" si="99"/>
        <v>5.8000000000000007</v>
      </c>
      <c r="S468" s="5">
        <f t="shared" si="100"/>
        <v>6.017586576237715</v>
      </c>
    </row>
    <row r="469" spans="1:19" x14ac:dyDescent="0.75">
      <c r="A469" s="5">
        <f t="shared" si="95"/>
        <v>178</v>
      </c>
      <c r="B469" s="5">
        <f t="shared" si="94"/>
        <v>101.71428571428571</v>
      </c>
      <c r="C469" s="5">
        <f t="shared" si="96"/>
        <v>365.87932881188573</v>
      </c>
      <c r="D469" s="67">
        <f>Finishing!D17</f>
        <v>0</v>
      </c>
      <c r="E469" s="67">
        <f>Finishing!E17</f>
        <v>0</v>
      </c>
      <c r="F469" s="67">
        <f>Finishing!F17</f>
        <v>0.11</v>
      </c>
      <c r="G469" s="67">
        <f>Finishing!G17</f>
        <v>0</v>
      </c>
      <c r="H469" s="67">
        <f>Finishing!H17</f>
        <v>0.15</v>
      </c>
      <c r="I469" s="67">
        <f>Finishing!I17</f>
        <v>0.4</v>
      </c>
      <c r="J469" s="67">
        <f>Finishing!J17</f>
        <v>2E-3</v>
      </c>
      <c r="K469" s="67">
        <f>Finishing!K17</f>
        <v>3.3</v>
      </c>
      <c r="L469" s="67">
        <f>Finishing!L17</f>
        <v>6</v>
      </c>
      <c r="M469" s="67">
        <f>Finishing!M17</f>
        <v>3.5</v>
      </c>
      <c r="N469" s="67">
        <f>Finishing!N17</f>
        <v>2.75</v>
      </c>
      <c r="O469" s="67">
        <f>Finishing!O17</f>
        <v>3</v>
      </c>
      <c r="P469" s="5">
        <f t="shared" si="97"/>
        <v>1.7</v>
      </c>
      <c r="Q469" s="5">
        <f t="shared" si="98"/>
        <v>2.4999999999999991</v>
      </c>
      <c r="R469" s="5">
        <f t="shared" si="99"/>
        <v>6.2000000000000011</v>
      </c>
      <c r="S469" s="5" t="e">
        <f t="shared" si="100"/>
        <v>#DIV/0!</v>
      </c>
    </row>
    <row r="470" spans="1:19" x14ac:dyDescent="0.75">
      <c r="A470" s="5">
        <f t="shared" si="95"/>
        <v>188</v>
      </c>
      <c r="B470" s="5">
        <f t="shared" si="94"/>
        <v>107.42857142857143</v>
      </c>
      <c r="C470" s="5" t="e">
        <f t="shared" si="96"/>
        <v>#DIV/0!</v>
      </c>
      <c r="D470" s="67">
        <f>Finishing!D18</f>
        <v>0</v>
      </c>
      <c r="E470" s="67">
        <f>Finishing!E18</f>
        <v>0</v>
      </c>
      <c r="F470" s="67">
        <f>Finishing!F18</f>
        <v>0.11</v>
      </c>
      <c r="G470" s="67">
        <f>Finishing!G18</f>
        <v>0</v>
      </c>
      <c r="H470" s="67">
        <f>Finishing!H18</f>
        <v>0.15</v>
      </c>
      <c r="I470" s="67">
        <f>Finishing!I18</f>
        <v>0.4</v>
      </c>
      <c r="J470" s="67">
        <f>Finishing!J18</f>
        <v>2E-3</v>
      </c>
      <c r="K470" s="67">
        <f>Finishing!K18</f>
        <v>3.4</v>
      </c>
      <c r="L470" s="67">
        <f>Finishing!L18</f>
        <v>6</v>
      </c>
      <c r="M470" s="67">
        <f>Finishing!M18</f>
        <v>3.5</v>
      </c>
      <c r="N470" s="67">
        <f>Finishing!N18</f>
        <v>2.75</v>
      </c>
      <c r="O470" s="67">
        <f>Finishing!O18</f>
        <v>3</v>
      </c>
      <c r="P470" s="5">
        <f t="shared" si="97"/>
        <v>1.7</v>
      </c>
      <c r="Q470" s="5">
        <f t="shared" si="98"/>
        <v>2.649999999999999</v>
      </c>
      <c r="R470" s="5">
        <f t="shared" si="99"/>
        <v>6.6000000000000014</v>
      </c>
      <c r="S470" s="5" t="e">
        <f>J470*(C470-C469)*$B$429+S469</f>
        <v>#DIV/0!</v>
      </c>
    </row>
    <row r="472" spans="1:19" x14ac:dyDescent="0.75">
      <c r="A472" s="1" t="s">
        <v>89</v>
      </c>
      <c r="B472" s="3"/>
      <c r="C472" s="3"/>
      <c r="D472" s="3"/>
      <c r="E472" s="3"/>
      <c r="F472" s="4"/>
      <c r="G472" s="3"/>
      <c r="H472" s="5"/>
      <c r="I472" s="3"/>
      <c r="J472" s="3" t="s">
        <v>128</v>
      </c>
      <c r="K472" s="3"/>
      <c r="L472" s="3"/>
      <c r="M472" s="3"/>
      <c r="N472" s="3"/>
      <c r="O472" s="5"/>
      <c r="P472" s="3"/>
      <c r="Q472" s="5"/>
      <c r="R472" s="5"/>
      <c r="S472" s="5"/>
    </row>
    <row r="473" spans="1:19" x14ac:dyDescent="0.75">
      <c r="A473" s="3" t="s">
        <v>0</v>
      </c>
      <c r="B473" s="3" t="s">
        <v>1</v>
      </c>
      <c r="C473" s="3" t="s">
        <v>90</v>
      </c>
      <c r="D473" s="3" t="s">
        <v>90</v>
      </c>
      <c r="E473" s="3" t="s">
        <v>91</v>
      </c>
      <c r="F473" s="3" t="s">
        <v>91</v>
      </c>
      <c r="G473" s="3" t="s">
        <v>92</v>
      </c>
      <c r="H473" s="3" t="s">
        <v>4</v>
      </c>
      <c r="I473" s="4" t="s">
        <v>5</v>
      </c>
      <c r="J473" s="3" t="s">
        <v>5</v>
      </c>
      <c r="K473" s="5" t="s">
        <v>129</v>
      </c>
      <c r="L473" s="3" t="s">
        <v>20</v>
      </c>
      <c r="M473" s="3" t="s">
        <v>122</v>
      </c>
      <c r="N473" s="3" t="s">
        <v>94</v>
      </c>
      <c r="O473" s="3" t="s">
        <v>95</v>
      </c>
      <c r="P473" s="5" t="s">
        <v>115</v>
      </c>
      <c r="Q473" s="5" t="s">
        <v>116</v>
      </c>
      <c r="R473" s="5" t="s">
        <v>113</v>
      </c>
      <c r="S473" s="5"/>
    </row>
    <row r="474" spans="1:19" x14ac:dyDescent="0.75">
      <c r="A474" s="3" t="s">
        <v>24</v>
      </c>
      <c r="B474" s="3" t="s">
        <v>11</v>
      </c>
      <c r="C474" s="3" t="s">
        <v>76</v>
      </c>
      <c r="D474" s="3" t="s">
        <v>174</v>
      </c>
      <c r="E474" s="3" t="s">
        <v>76</v>
      </c>
      <c r="F474" s="3" t="s">
        <v>93</v>
      </c>
      <c r="G474" s="3" t="s">
        <v>76</v>
      </c>
      <c r="H474" s="3" t="s">
        <v>73</v>
      </c>
      <c r="I474" s="4" t="s">
        <v>74</v>
      </c>
      <c r="J474" s="3" t="s">
        <v>75</v>
      </c>
      <c r="K474" s="5" t="s">
        <v>76</v>
      </c>
      <c r="L474" s="3" t="s">
        <v>76</v>
      </c>
      <c r="M474" s="3" t="s">
        <v>76</v>
      </c>
      <c r="N474" s="3" t="s">
        <v>120</v>
      </c>
      <c r="O474" s="3" t="s">
        <v>121</v>
      </c>
      <c r="P474" s="3" t="s">
        <v>117</v>
      </c>
      <c r="Q474" s="3" t="s">
        <v>117</v>
      </c>
      <c r="R474" s="3" t="s">
        <v>117</v>
      </c>
      <c r="S474" s="5"/>
    </row>
    <row r="475" spans="1:19" x14ac:dyDescent="0.75">
      <c r="A475" s="11">
        <f>B402</f>
        <v>48</v>
      </c>
      <c r="B475" s="15">
        <f>Comparisons!H31</f>
        <v>2.4</v>
      </c>
      <c r="C475" s="48">
        <f t="shared" ref="C475:C489" si="101">G475-E475-F475</f>
        <v>20.693848396157637</v>
      </c>
      <c r="D475" s="48">
        <f>C475*$B$426*(1-Q456/100)</f>
        <v>31.811168119880836</v>
      </c>
      <c r="E475" s="49">
        <f t="shared" ref="E475:E489" si="102">K475+M475+P456+R456+S456+K456+L456+M456+(N475+O475+P475+Q475)</f>
        <v>105.47077123681372</v>
      </c>
      <c r="F475" s="49">
        <f t="shared" ref="F475:F489" si="103">(K475+P456+R456+S456+M456+(N475+O475+P475+Q475))*(Q456/100)</f>
        <v>0.29740431371044118</v>
      </c>
      <c r="G475" s="49">
        <f t="shared" ref="G475:G489" si="104">L475+N456+R475</f>
        <v>126.4620239466818</v>
      </c>
      <c r="H475" s="5">
        <f t="shared" ref="H475:H489" si="105">D456*E456</f>
        <v>2.3899999999999997</v>
      </c>
      <c r="I475" s="5">
        <f t="shared" ref="I475:I489" si="106">H475*F456</f>
        <v>0.27484999999999998</v>
      </c>
      <c r="J475" s="5">
        <f t="shared" ref="J475:J488" si="107">I475*(C457-C456)</f>
        <v>3.437424181209618</v>
      </c>
      <c r="K475" s="5">
        <f>$B$212+J475</f>
        <v>3.437424181209618</v>
      </c>
      <c r="L475" s="5">
        <f t="shared" ref="L475:L489" si="108">A475*(1-O456/100)*B475</f>
        <v>109.43999999999998</v>
      </c>
      <c r="M475" s="5">
        <f t="shared" ref="M475:M489" si="109">0.007*A475</f>
        <v>0.33600000000000002</v>
      </c>
      <c r="N475" s="5">
        <f>$F$426/(1-$B$440/100)</f>
        <v>61.275973346462017</v>
      </c>
      <c r="O475" s="5">
        <f>$B$437/(1-$B$440/100)</f>
        <v>25.912275973552475</v>
      </c>
      <c r="P475" s="5">
        <f>$B$445/(1-$B$440/100)</f>
        <v>4.6442609322827177</v>
      </c>
      <c r="Q475" s="5">
        <f>$B$448/(1-$B$440/100)</f>
        <v>1.7647058823529411</v>
      </c>
      <c r="R475" s="5">
        <f>$B$451/(1-$B$440/100)</f>
        <v>15.022023946681815</v>
      </c>
      <c r="S475" s="5"/>
    </row>
    <row r="476" spans="1:19" x14ac:dyDescent="0.75">
      <c r="A476" s="11">
        <f>A475+10</f>
        <v>58</v>
      </c>
      <c r="B476" s="15">
        <f>Comparisons!H32</f>
        <v>2.2999999999999998</v>
      </c>
      <c r="C476" s="48">
        <f t="shared" si="101"/>
        <v>32.917389269106529</v>
      </c>
      <c r="D476" s="48">
        <f t="shared" ref="D476:D489" si="110">C476*$B$426*(1-Q457/100)</f>
        <v>50.449278920267211</v>
      </c>
      <c r="E476" s="49">
        <f t="shared" si="102"/>
        <v>110.2123962997766</v>
      </c>
      <c r="F476" s="49">
        <f t="shared" si="103"/>
        <v>0.62223837779865965</v>
      </c>
      <c r="G476" s="49">
        <f t="shared" si="104"/>
        <v>143.75202394668179</v>
      </c>
      <c r="H476" s="5">
        <f t="shared" si="105"/>
        <v>2.7479999999999998</v>
      </c>
      <c r="I476" s="5">
        <f t="shared" si="106"/>
        <v>0.31601999999999997</v>
      </c>
      <c r="J476" s="5">
        <f t="shared" si="107"/>
        <v>3.9233288268481945</v>
      </c>
      <c r="K476" s="5">
        <f>J476+K475</f>
        <v>7.360753008057813</v>
      </c>
      <c r="L476" s="5">
        <f t="shared" si="108"/>
        <v>126.72999999999998</v>
      </c>
      <c r="M476" s="5">
        <f t="shared" si="109"/>
        <v>0.40600000000000003</v>
      </c>
      <c r="N476" s="5">
        <f t="shared" ref="N476:N489" si="111">$F$426/(1-$B$440/100)</f>
        <v>61.275973346462017</v>
      </c>
      <c r="O476" s="5">
        <f t="shared" ref="O476:O489" si="112">$B$437/(1-$B$440/100)</f>
        <v>25.912275973552475</v>
      </c>
      <c r="P476" s="5">
        <f t="shared" ref="P476:P489" si="113">$B$445/(1-$B$440/100)</f>
        <v>4.6442609322827177</v>
      </c>
      <c r="Q476" s="5">
        <f t="shared" ref="Q476:Q489" si="114">$B$448/(1-$B$440/100)</f>
        <v>1.7647058823529411</v>
      </c>
      <c r="R476" s="5">
        <f t="shared" ref="R476:R489" si="115">$B$451/(1-$B$440/100)</f>
        <v>15.022023946681815</v>
      </c>
      <c r="S476" s="5"/>
    </row>
    <row r="477" spans="1:19" x14ac:dyDescent="0.75">
      <c r="A477" s="11">
        <f t="shared" ref="A477:A489" si="116">A476+10</f>
        <v>68</v>
      </c>
      <c r="B477" s="15">
        <f>Comparisons!H33</f>
        <v>2.25</v>
      </c>
      <c r="C477" s="48">
        <f t="shared" si="101"/>
        <v>45.407349669705269</v>
      </c>
      <c r="D477" s="48">
        <f t="shared" si="110"/>
        <v>69.451402679074505</v>
      </c>
      <c r="E477" s="49">
        <f t="shared" si="102"/>
        <v>116.09333559223865</v>
      </c>
      <c r="F477" s="49">
        <f t="shared" si="103"/>
        <v>0.87133868473790921</v>
      </c>
      <c r="G477" s="49">
        <f t="shared" si="104"/>
        <v>162.37202394668182</v>
      </c>
      <c r="H477" s="5">
        <f t="shared" si="105"/>
        <v>3.0659999999999994</v>
      </c>
      <c r="I477" s="5">
        <f t="shared" si="106"/>
        <v>0.35258999999999996</v>
      </c>
      <c r="J477" s="5">
        <f t="shared" si="107"/>
        <v>4.5526962213940081</v>
      </c>
      <c r="K477" s="5">
        <f t="shared" ref="K477:K489" si="117">J477+K476</f>
        <v>11.913449229451821</v>
      </c>
      <c r="L477" s="5">
        <f t="shared" si="108"/>
        <v>145.35</v>
      </c>
      <c r="M477" s="5">
        <f t="shared" si="109"/>
        <v>0.47600000000000003</v>
      </c>
      <c r="N477" s="5">
        <f t="shared" si="111"/>
        <v>61.275973346462017</v>
      </c>
      <c r="O477" s="5">
        <f t="shared" si="112"/>
        <v>25.912275973552475</v>
      </c>
      <c r="P477" s="5">
        <f t="shared" si="113"/>
        <v>4.6442609322827177</v>
      </c>
      <c r="Q477" s="5">
        <f t="shared" si="114"/>
        <v>1.7647058823529411</v>
      </c>
      <c r="R477" s="5">
        <f t="shared" si="115"/>
        <v>15.022023946681815</v>
      </c>
      <c r="S477" s="5"/>
    </row>
    <row r="478" spans="1:19" x14ac:dyDescent="0.75">
      <c r="A478" s="11">
        <f t="shared" si="116"/>
        <v>78</v>
      </c>
      <c r="B478" s="15">
        <f>Comparisons!H34</f>
        <v>2.15</v>
      </c>
      <c r="C478" s="48">
        <f t="shared" si="101"/>
        <v>52.91036321518159</v>
      </c>
      <c r="D478" s="48">
        <f t="shared" si="110"/>
        <v>80.764244136880876</v>
      </c>
      <c r="E478" s="49">
        <f t="shared" si="102"/>
        <v>122.27734725891109</v>
      </c>
      <c r="F478" s="49">
        <f t="shared" si="103"/>
        <v>1.149313472589111</v>
      </c>
      <c r="G478" s="49">
        <f t="shared" si="104"/>
        <v>176.3370239466818</v>
      </c>
      <c r="H478" s="5">
        <f t="shared" si="105"/>
        <v>3.3440000000000007</v>
      </c>
      <c r="I478" s="5">
        <f t="shared" si="106"/>
        <v>0.38456000000000012</v>
      </c>
      <c r="J478" s="5">
        <f t="shared" si="107"/>
        <v>5.33647500132379</v>
      </c>
      <c r="K478" s="5">
        <f t="shared" si="117"/>
        <v>17.249924230775612</v>
      </c>
      <c r="L478" s="5">
        <f t="shared" si="108"/>
        <v>159.31499999999997</v>
      </c>
      <c r="M478" s="5">
        <f t="shared" si="109"/>
        <v>0.54600000000000004</v>
      </c>
      <c r="N478" s="5">
        <f t="shared" si="111"/>
        <v>61.275973346462017</v>
      </c>
      <c r="O478" s="5">
        <f t="shared" si="112"/>
        <v>25.912275973552475</v>
      </c>
      <c r="P478" s="5">
        <f t="shared" si="113"/>
        <v>4.6442609322827177</v>
      </c>
      <c r="Q478" s="5">
        <f t="shared" si="114"/>
        <v>1.7647058823529411</v>
      </c>
      <c r="R478" s="5">
        <f t="shared" si="115"/>
        <v>15.022023946681815</v>
      </c>
      <c r="S478" s="5"/>
    </row>
    <row r="479" spans="1:19" x14ac:dyDescent="0.75">
      <c r="A479" s="11">
        <f t="shared" si="116"/>
        <v>88</v>
      </c>
      <c r="B479" s="15">
        <f>Comparisons!H35</f>
        <v>2.0499999999999998</v>
      </c>
      <c r="C479" s="48">
        <f t="shared" si="101"/>
        <v>58.866022995088684</v>
      </c>
      <c r="D479" s="48">
        <f t="shared" si="110"/>
        <v>89.719029031537417</v>
      </c>
      <c r="E479" s="49">
        <f t="shared" si="102"/>
        <v>129.93789911180733</v>
      </c>
      <c r="F479" s="49">
        <f t="shared" si="103"/>
        <v>1.4021018397857841</v>
      </c>
      <c r="G479" s="49">
        <f t="shared" si="104"/>
        <v>190.2060239466818</v>
      </c>
      <c r="H479" s="5">
        <f t="shared" si="105"/>
        <v>3.5819999999999994</v>
      </c>
      <c r="I479" s="5">
        <f t="shared" si="106"/>
        <v>0.41192999999999996</v>
      </c>
      <c r="J479" s="5">
        <f t="shared" si="107"/>
        <v>6.2853842631063808</v>
      </c>
      <c r="K479" s="5">
        <f t="shared" si="117"/>
        <v>23.535308493881992</v>
      </c>
      <c r="L479" s="5">
        <f t="shared" si="108"/>
        <v>173.18399999999997</v>
      </c>
      <c r="M479" s="5">
        <f t="shared" si="109"/>
        <v>0.61599999999999999</v>
      </c>
      <c r="N479" s="5">
        <f t="shared" si="111"/>
        <v>61.275973346462017</v>
      </c>
      <c r="O479" s="5">
        <f t="shared" si="112"/>
        <v>25.912275973552475</v>
      </c>
      <c r="P479" s="5">
        <f t="shared" si="113"/>
        <v>4.6442609322827177</v>
      </c>
      <c r="Q479" s="5">
        <f t="shared" si="114"/>
        <v>1.7647058823529411</v>
      </c>
      <c r="R479" s="5">
        <f t="shared" si="115"/>
        <v>15.022023946681815</v>
      </c>
      <c r="S479" s="5"/>
    </row>
    <row r="480" spans="1:19" x14ac:dyDescent="0.75">
      <c r="A480" s="11">
        <f t="shared" si="116"/>
        <v>98</v>
      </c>
      <c r="B480" s="15">
        <f>Comparisons!H36</f>
        <v>1.95</v>
      </c>
      <c r="C480" s="48">
        <f t="shared" si="101"/>
        <v>60.854602941332544</v>
      </c>
      <c r="D480" s="48">
        <f t="shared" si="110"/>
        <v>92.609125082281153</v>
      </c>
      <c r="E480" s="49">
        <f t="shared" si="102"/>
        <v>137.93666239422436</v>
      </c>
      <c r="F480" s="49">
        <f t="shared" si="103"/>
        <v>1.6867586111249162</v>
      </c>
      <c r="G480" s="49">
        <f t="shared" si="104"/>
        <v>200.47802394668182</v>
      </c>
      <c r="H480" s="5">
        <f t="shared" si="105"/>
        <v>3.7800000000000002</v>
      </c>
      <c r="I480" s="5">
        <f t="shared" si="106"/>
        <v>0.4158</v>
      </c>
      <c r="J480" s="5">
        <f t="shared" si="107"/>
        <v>7.0878379367347586</v>
      </c>
      <c r="K480" s="5">
        <f t="shared" si="117"/>
        <v>30.62314643061675</v>
      </c>
      <c r="L480" s="5">
        <f t="shared" si="108"/>
        <v>183.45599999999999</v>
      </c>
      <c r="M480" s="5">
        <f t="shared" si="109"/>
        <v>0.68600000000000005</v>
      </c>
      <c r="N480" s="5">
        <f t="shared" si="111"/>
        <v>61.275973346462017</v>
      </c>
      <c r="O480" s="5">
        <f t="shared" si="112"/>
        <v>25.912275973552475</v>
      </c>
      <c r="P480" s="5">
        <f t="shared" si="113"/>
        <v>4.6442609322827177</v>
      </c>
      <c r="Q480" s="5">
        <f t="shared" si="114"/>
        <v>1.7647058823529411</v>
      </c>
      <c r="R480" s="5">
        <f t="shared" si="115"/>
        <v>15.022023946681815</v>
      </c>
      <c r="S480" s="5"/>
    </row>
    <row r="481" spans="1:19" x14ac:dyDescent="0.75">
      <c r="A481" s="11">
        <f t="shared" si="116"/>
        <v>108</v>
      </c>
      <c r="B481" s="15">
        <f>Comparisons!H37</f>
        <v>1.85</v>
      </c>
      <c r="C481" s="48">
        <f t="shared" si="101"/>
        <v>58.219531075644021</v>
      </c>
      <c r="D481" s="48">
        <f t="shared" si="110"/>
        <v>88.464398147463413</v>
      </c>
      <c r="E481" s="49">
        <f t="shared" si="102"/>
        <v>148.58443062694707</v>
      </c>
      <c r="F481" s="49">
        <f t="shared" si="103"/>
        <v>2.0260622440907321</v>
      </c>
      <c r="G481" s="49">
        <f t="shared" si="104"/>
        <v>208.83002394668182</v>
      </c>
      <c r="H481" s="5">
        <f t="shared" si="105"/>
        <v>3.9379999999999988</v>
      </c>
      <c r="I481" s="5">
        <f t="shared" si="106"/>
        <v>0.4331799999999999</v>
      </c>
      <c r="J481" s="5">
        <f t="shared" si="107"/>
        <v>8.3425893531286146</v>
      </c>
      <c r="K481" s="5">
        <f t="shared" si="117"/>
        <v>38.965735783745366</v>
      </c>
      <c r="L481" s="5">
        <f t="shared" si="108"/>
        <v>191.80799999999999</v>
      </c>
      <c r="M481" s="5">
        <f t="shared" si="109"/>
        <v>0.75600000000000001</v>
      </c>
      <c r="N481" s="5">
        <f t="shared" si="111"/>
        <v>61.275973346462017</v>
      </c>
      <c r="O481" s="5">
        <f t="shared" si="112"/>
        <v>25.912275973552475</v>
      </c>
      <c r="P481" s="5">
        <f t="shared" si="113"/>
        <v>4.6442609322827177</v>
      </c>
      <c r="Q481" s="5">
        <f t="shared" si="114"/>
        <v>1.7647058823529411</v>
      </c>
      <c r="R481" s="5">
        <f t="shared" si="115"/>
        <v>15.022023946681815</v>
      </c>
      <c r="S481" s="5"/>
    </row>
    <row r="482" spans="1:19" x14ac:dyDescent="0.75">
      <c r="A482" s="11">
        <f t="shared" si="116"/>
        <v>118</v>
      </c>
      <c r="B482" s="15">
        <f>Comparisons!H38</f>
        <v>1.68</v>
      </c>
      <c r="C482" s="48">
        <f t="shared" si="101"/>
        <v>45.543455522732629</v>
      </c>
      <c r="D482" s="48">
        <f t="shared" si="110"/>
        <v>69.097808363450582</v>
      </c>
      <c r="E482" s="49">
        <f t="shared" si="102"/>
        <v>159.38325238577676</v>
      </c>
      <c r="F482" s="49">
        <f t="shared" si="103"/>
        <v>2.4057160381724279</v>
      </c>
      <c r="G482" s="49">
        <f t="shared" si="104"/>
        <v>207.33242394668181</v>
      </c>
      <c r="H482" s="5">
        <f t="shared" si="105"/>
        <v>4.056</v>
      </c>
      <c r="I482" s="5">
        <f t="shared" si="106"/>
        <v>0.44616</v>
      </c>
      <c r="J482" s="5">
        <f t="shared" si="107"/>
        <v>9.7899672128013098</v>
      </c>
      <c r="K482" s="5">
        <f t="shared" si="117"/>
        <v>48.755702996546674</v>
      </c>
      <c r="L482" s="5">
        <f t="shared" si="108"/>
        <v>190.31039999999999</v>
      </c>
      <c r="M482" s="5">
        <f t="shared" si="109"/>
        <v>0.82600000000000007</v>
      </c>
      <c r="N482" s="5">
        <f t="shared" si="111"/>
        <v>61.275973346462017</v>
      </c>
      <c r="O482" s="5">
        <f t="shared" si="112"/>
        <v>25.912275973552475</v>
      </c>
      <c r="P482" s="5">
        <f t="shared" si="113"/>
        <v>4.6442609322827177</v>
      </c>
      <c r="Q482" s="5">
        <f t="shared" si="114"/>
        <v>1.7647058823529411</v>
      </c>
      <c r="R482" s="5">
        <f t="shared" si="115"/>
        <v>15.022023946681815</v>
      </c>
      <c r="S482" s="5"/>
    </row>
    <row r="483" spans="1:19" x14ac:dyDescent="0.75">
      <c r="A483" s="11">
        <f t="shared" si="116"/>
        <v>128</v>
      </c>
      <c r="B483" s="15">
        <f>Comparisons!H39</f>
        <v>1.65</v>
      </c>
      <c r="C483" s="48">
        <f t="shared" si="101"/>
        <v>44.520469378217022</v>
      </c>
      <c r="D483" s="48">
        <f t="shared" si="110"/>
        <v>67.442783928037272</v>
      </c>
      <c r="E483" s="49">
        <f t="shared" si="102"/>
        <v>172.40612734001454</v>
      </c>
      <c r="F483" s="49">
        <f t="shared" si="103"/>
        <v>2.8474272284502535</v>
      </c>
      <c r="G483" s="49">
        <f t="shared" si="104"/>
        <v>219.77402394668181</v>
      </c>
      <c r="H483" s="5">
        <f t="shared" si="105"/>
        <v>4.1339999999999986</v>
      </c>
      <c r="I483" s="5">
        <f t="shared" si="106"/>
        <v>0.45473999999999987</v>
      </c>
      <c r="J483" s="5">
        <f t="shared" si="107"/>
        <v>11.449320378923376</v>
      </c>
      <c r="K483" s="5">
        <f t="shared" si="117"/>
        <v>60.205023375470049</v>
      </c>
      <c r="L483" s="5">
        <f t="shared" si="108"/>
        <v>202.75199999999998</v>
      </c>
      <c r="M483" s="5">
        <f t="shared" si="109"/>
        <v>0.89600000000000002</v>
      </c>
      <c r="N483" s="5">
        <f t="shared" si="111"/>
        <v>61.275973346462017</v>
      </c>
      <c r="O483" s="5">
        <f t="shared" si="112"/>
        <v>25.912275973552475</v>
      </c>
      <c r="P483" s="5">
        <f t="shared" si="113"/>
        <v>4.6442609322827177</v>
      </c>
      <c r="Q483" s="5">
        <f t="shared" si="114"/>
        <v>1.7647058823529411</v>
      </c>
      <c r="R483" s="5">
        <f t="shared" si="115"/>
        <v>15.022023946681815</v>
      </c>
      <c r="S483" s="5"/>
    </row>
    <row r="484" spans="1:19" x14ac:dyDescent="0.75">
      <c r="A484" s="11">
        <f t="shared" si="116"/>
        <v>138</v>
      </c>
      <c r="B484" s="15">
        <f>Comparisons!H40</f>
        <v>1.6</v>
      </c>
      <c r="C484" s="48">
        <f t="shared" si="101"/>
        <v>41.675525068218711</v>
      </c>
      <c r="D484" s="48">
        <f t="shared" si="110"/>
        <v>63.036672926253132</v>
      </c>
      <c r="E484" s="49">
        <f t="shared" si="102"/>
        <v>186.90868781007174</v>
      </c>
      <c r="F484" s="49">
        <f t="shared" si="103"/>
        <v>3.3638110683913625</v>
      </c>
      <c r="G484" s="49">
        <f t="shared" si="104"/>
        <v>231.94802394668181</v>
      </c>
      <c r="H484" s="5">
        <f t="shared" si="105"/>
        <v>4.1719999999999997</v>
      </c>
      <c r="I484" s="5">
        <f t="shared" si="106"/>
        <v>0.45891999999999999</v>
      </c>
      <c r="J484" s="5">
        <f t="shared" si="107"/>
        <v>13.350727994067185</v>
      </c>
      <c r="K484" s="5">
        <f t="shared" si="117"/>
        <v>73.555751369537234</v>
      </c>
      <c r="L484" s="5">
        <f t="shared" si="108"/>
        <v>214.17599999999999</v>
      </c>
      <c r="M484" s="5">
        <f t="shared" si="109"/>
        <v>0.96599999999999997</v>
      </c>
      <c r="N484" s="5">
        <f t="shared" si="111"/>
        <v>61.275973346462017</v>
      </c>
      <c r="O484" s="5">
        <f t="shared" si="112"/>
        <v>25.912275973552475</v>
      </c>
      <c r="P484" s="5">
        <f t="shared" si="113"/>
        <v>4.6442609322827177</v>
      </c>
      <c r="Q484" s="5">
        <f t="shared" si="114"/>
        <v>1.7647058823529411</v>
      </c>
      <c r="R484" s="5">
        <f t="shared" si="115"/>
        <v>15.022023946681815</v>
      </c>
      <c r="S484" s="5"/>
    </row>
    <row r="485" spans="1:19" x14ac:dyDescent="0.75">
      <c r="A485" s="11">
        <f t="shared" si="116"/>
        <v>148</v>
      </c>
      <c r="B485" s="15">
        <f>Comparisons!H41</f>
        <v>1.55</v>
      </c>
      <c r="C485" s="48">
        <f t="shared" si="101"/>
        <v>28.548442349530276</v>
      </c>
      <c r="D485" s="48">
        <f t="shared" si="110"/>
        <v>43.115165072129749</v>
      </c>
      <c r="E485" s="49">
        <f t="shared" si="102"/>
        <v>207.69972522993783</v>
      </c>
      <c r="F485" s="49">
        <f t="shared" si="103"/>
        <v>4.0418563672137244</v>
      </c>
      <c r="G485" s="49">
        <f t="shared" si="104"/>
        <v>240.29002394668183</v>
      </c>
      <c r="H485" s="5">
        <f t="shared" si="105"/>
        <v>4.169999999999999</v>
      </c>
      <c r="I485" s="5">
        <f t="shared" si="106"/>
        <v>0.45869999999999989</v>
      </c>
      <c r="J485" s="5">
        <f t="shared" si="107"/>
        <v>15.543325390625789</v>
      </c>
      <c r="K485" s="5">
        <f t="shared" si="117"/>
        <v>89.09907676016303</v>
      </c>
      <c r="L485" s="5">
        <f t="shared" si="108"/>
        <v>222.518</v>
      </c>
      <c r="M485" s="5">
        <f t="shared" si="109"/>
        <v>1.036</v>
      </c>
      <c r="N485" s="5">
        <f t="shared" si="111"/>
        <v>61.275973346462017</v>
      </c>
      <c r="O485" s="5">
        <f t="shared" si="112"/>
        <v>25.912275973552475</v>
      </c>
      <c r="P485" s="5">
        <f t="shared" si="113"/>
        <v>4.6442609322827177</v>
      </c>
      <c r="Q485" s="5">
        <f t="shared" si="114"/>
        <v>1.7647058823529411</v>
      </c>
      <c r="R485" s="5">
        <f t="shared" si="115"/>
        <v>15.022023946681815</v>
      </c>
      <c r="S485" s="5"/>
    </row>
    <row r="486" spans="1:19" x14ac:dyDescent="0.75">
      <c r="A486" s="11">
        <f t="shared" si="116"/>
        <v>158</v>
      </c>
      <c r="B486" s="15">
        <f>Comparisons!H42</f>
        <v>1.4</v>
      </c>
      <c r="C486" s="48">
        <f t="shared" si="101"/>
        <v>0.39622088344416273</v>
      </c>
      <c r="D486" s="48">
        <f t="shared" si="110"/>
        <v>0.59747455193262911</v>
      </c>
      <c r="E486" s="49">
        <f t="shared" si="102"/>
        <v>227.17743156872567</v>
      </c>
      <c r="F486" s="49">
        <f t="shared" si="103"/>
        <v>4.7623714945119628</v>
      </c>
      <c r="G486" s="49">
        <f t="shared" si="104"/>
        <v>232.33602394668179</v>
      </c>
      <c r="H486" s="5">
        <f t="shared" si="105"/>
        <v>4.1279999999999992</v>
      </c>
      <c r="I486" s="5">
        <f t="shared" si="106"/>
        <v>0.45407999999999993</v>
      </c>
      <c r="J486" s="5">
        <f t="shared" si="107"/>
        <v>18.110047448356379</v>
      </c>
      <c r="K486" s="5">
        <f t="shared" si="117"/>
        <v>107.20912420851941</v>
      </c>
      <c r="L486" s="5">
        <f t="shared" si="108"/>
        <v>214.56399999999996</v>
      </c>
      <c r="M486" s="5">
        <f t="shared" si="109"/>
        <v>1.1060000000000001</v>
      </c>
      <c r="N486" s="5">
        <f t="shared" si="111"/>
        <v>61.275973346462017</v>
      </c>
      <c r="O486" s="5">
        <f t="shared" si="112"/>
        <v>25.912275973552475</v>
      </c>
      <c r="P486" s="5">
        <f t="shared" si="113"/>
        <v>4.6442609322827177</v>
      </c>
      <c r="Q486" s="5">
        <f t="shared" si="114"/>
        <v>1.7647058823529411</v>
      </c>
      <c r="R486" s="5">
        <f t="shared" si="115"/>
        <v>15.022023946681815</v>
      </c>
      <c r="S486" s="5"/>
    </row>
    <row r="487" spans="1:19" x14ac:dyDescent="0.75">
      <c r="A487" s="11">
        <f t="shared" si="116"/>
        <v>168</v>
      </c>
      <c r="B487" s="15">
        <f>Comparisons!H43</f>
        <v>1.3</v>
      </c>
      <c r="C487" s="48">
        <f t="shared" si="101"/>
        <v>-25.392747451458845</v>
      </c>
      <c r="D487" s="48">
        <f t="shared" si="110"/>
        <v>-38.231834402936038</v>
      </c>
      <c r="E487" s="49">
        <f t="shared" si="102"/>
        <v>249.39580595812475</v>
      </c>
      <c r="F487" s="49">
        <f t="shared" si="103"/>
        <v>5.6169654400159308</v>
      </c>
      <c r="G487" s="49">
        <f t="shared" si="104"/>
        <v>229.62002394668184</v>
      </c>
      <c r="H487" s="5">
        <f t="shared" si="105"/>
        <v>4.0459999999999994</v>
      </c>
      <c r="I487" s="5">
        <f t="shared" si="106"/>
        <v>0.44505999999999996</v>
      </c>
      <c r="J487" s="5">
        <f t="shared" si="107"/>
        <v>21.195879038717507</v>
      </c>
      <c r="K487" s="5">
        <f t="shared" si="117"/>
        <v>128.40500324723692</v>
      </c>
      <c r="L487" s="5">
        <f t="shared" si="108"/>
        <v>211.84800000000001</v>
      </c>
      <c r="M487" s="5">
        <f t="shared" si="109"/>
        <v>1.1759999999999999</v>
      </c>
      <c r="N487" s="5">
        <f t="shared" si="111"/>
        <v>61.275973346462017</v>
      </c>
      <c r="O487" s="5">
        <f t="shared" si="112"/>
        <v>25.912275973552475</v>
      </c>
      <c r="P487" s="5">
        <f t="shared" si="113"/>
        <v>4.6442609322827177</v>
      </c>
      <c r="Q487" s="5">
        <f t="shared" si="114"/>
        <v>1.7647058823529411</v>
      </c>
      <c r="R487" s="5">
        <f t="shared" si="115"/>
        <v>15.022023946681815</v>
      </c>
      <c r="S487" s="5"/>
    </row>
    <row r="488" spans="1:19" x14ac:dyDescent="0.75">
      <c r="A488" s="11">
        <f t="shared" si="116"/>
        <v>178</v>
      </c>
      <c r="B488" s="15">
        <f>Comparisons!H44</f>
        <v>0</v>
      </c>
      <c r="C488" s="48" t="e">
        <f t="shared" si="101"/>
        <v>#DIV/0!</v>
      </c>
      <c r="D488" s="48" t="e">
        <f t="shared" si="110"/>
        <v>#DIV/0!</v>
      </c>
      <c r="E488" s="49" t="e">
        <f t="shared" si="102"/>
        <v>#DIV/0!</v>
      </c>
      <c r="F488" s="49" t="e">
        <f t="shared" si="103"/>
        <v>#DIV/0!</v>
      </c>
      <c r="G488" s="49">
        <f t="shared" si="104"/>
        <v>17.772023946681813</v>
      </c>
      <c r="H488" s="5">
        <f t="shared" si="105"/>
        <v>0</v>
      </c>
      <c r="I488" s="5">
        <f t="shared" si="106"/>
        <v>0</v>
      </c>
      <c r="J488" s="5" t="e">
        <f t="shared" si="107"/>
        <v>#DIV/0!</v>
      </c>
      <c r="K488" s="5" t="e">
        <f t="shared" si="117"/>
        <v>#DIV/0!</v>
      </c>
      <c r="L488" s="5">
        <f t="shared" si="108"/>
        <v>0</v>
      </c>
      <c r="M488" s="5">
        <f t="shared" si="109"/>
        <v>1.246</v>
      </c>
      <c r="N488" s="5">
        <f t="shared" si="111"/>
        <v>61.275973346462017</v>
      </c>
      <c r="O488" s="5">
        <f t="shared" si="112"/>
        <v>25.912275973552475</v>
      </c>
      <c r="P488" s="5">
        <f t="shared" si="113"/>
        <v>4.6442609322827177</v>
      </c>
      <c r="Q488" s="5">
        <f t="shared" si="114"/>
        <v>1.7647058823529411</v>
      </c>
      <c r="R488" s="5">
        <f t="shared" si="115"/>
        <v>15.022023946681815</v>
      </c>
      <c r="S488" s="5"/>
    </row>
    <row r="489" spans="1:19" x14ac:dyDescent="0.75">
      <c r="A489" s="11">
        <f t="shared" si="116"/>
        <v>188</v>
      </c>
      <c r="B489" s="15">
        <f>Comparisons!H45</f>
        <v>0</v>
      </c>
      <c r="C489" s="48" t="e">
        <f t="shared" si="101"/>
        <v>#DIV/0!</v>
      </c>
      <c r="D489" s="48" t="e">
        <f t="shared" si="110"/>
        <v>#DIV/0!</v>
      </c>
      <c r="E489" s="49" t="e">
        <f t="shared" si="102"/>
        <v>#DIV/0!</v>
      </c>
      <c r="F489" s="49" t="e">
        <f t="shared" si="103"/>
        <v>#DIV/0!</v>
      </c>
      <c r="G489" s="49">
        <f t="shared" si="104"/>
        <v>17.772023946681813</v>
      </c>
      <c r="H489" s="5">
        <f t="shared" si="105"/>
        <v>0</v>
      </c>
      <c r="I489" s="5">
        <f t="shared" si="106"/>
        <v>0</v>
      </c>
      <c r="J489" s="5" t="e">
        <f>I489*(C470-C469)</f>
        <v>#DIV/0!</v>
      </c>
      <c r="K489" s="5" t="e">
        <f t="shared" si="117"/>
        <v>#DIV/0!</v>
      </c>
      <c r="L489" s="5">
        <f t="shared" si="108"/>
        <v>0</v>
      </c>
      <c r="M489" s="5">
        <f t="shared" si="109"/>
        <v>1.3160000000000001</v>
      </c>
      <c r="N489" s="5">
        <f t="shared" si="111"/>
        <v>61.275973346462017</v>
      </c>
      <c r="O489" s="5">
        <f t="shared" si="112"/>
        <v>25.912275973552475</v>
      </c>
      <c r="P489" s="5">
        <f t="shared" si="113"/>
        <v>4.6442609322827177</v>
      </c>
      <c r="Q489" s="5">
        <f t="shared" si="114"/>
        <v>1.7647058823529411</v>
      </c>
      <c r="R489" s="5">
        <f t="shared" si="115"/>
        <v>15.022023946681815</v>
      </c>
      <c r="S489" s="5"/>
    </row>
    <row r="501" spans="1:19" x14ac:dyDescent="0.75">
      <c r="A501" s="1" t="s">
        <v>49</v>
      </c>
      <c r="B501" s="3"/>
      <c r="C501" s="12"/>
      <c r="D501" s="3"/>
      <c r="E501" s="1" t="s">
        <v>170</v>
      </c>
      <c r="F501" s="4"/>
      <c r="G501" s="3"/>
      <c r="H501" s="5"/>
      <c r="I501" s="3"/>
      <c r="J501" s="3"/>
      <c r="K501" s="3"/>
      <c r="L501" s="3"/>
      <c r="M501" s="3"/>
      <c r="N501" s="3"/>
      <c r="O501" s="5"/>
      <c r="P501" s="3"/>
      <c r="Q501" s="5"/>
      <c r="R501" s="5"/>
      <c r="S501" s="5"/>
    </row>
    <row r="502" spans="1:19" x14ac:dyDescent="0.75">
      <c r="A502" t="s">
        <v>13</v>
      </c>
      <c r="B502" s="61">
        <f>Comparisons!I3</f>
        <v>48</v>
      </c>
      <c r="C502" s="12" t="s">
        <v>9</v>
      </c>
      <c r="D502" s="3"/>
      <c r="E502" s="1"/>
      <c r="F502" s="4"/>
      <c r="G502" s="3"/>
      <c r="H502" s="5"/>
      <c r="I502" s="3"/>
      <c r="J502" s="3"/>
      <c r="K502" s="3"/>
      <c r="L502" s="3"/>
      <c r="M502" s="3"/>
      <c r="N502" s="3"/>
      <c r="O502" s="5"/>
      <c r="P502" s="3"/>
      <c r="Q502" s="5"/>
      <c r="R502" s="5"/>
      <c r="S502" s="5"/>
    </row>
    <row r="503" spans="1:19" x14ac:dyDescent="0.75">
      <c r="A503" t="s">
        <v>14</v>
      </c>
      <c r="B503" s="63">
        <f>Comparisons!I4</f>
        <v>65</v>
      </c>
      <c r="C503" s="12" t="s">
        <v>10</v>
      </c>
      <c r="D503" s="3"/>
      <c r="E503" s="1"/>
      <c r="F503" s="4"/>
      <c r="G503" s="3"/>
      <c r="H503" s="5"/>
      <c r="I503" s="3"/>
      <c r="J503" s="3"/>
      <c r="K503" s="3"/>
      <c r="L503" s="3"/>
      <c r="M503" s="3"/>
      <c r="N503" s="3"/>
      <c r="O503" s="5"/>
      <c r="P503" s="3"/>
      <c r="Q503" s="5"/>
      <c r="R503" s="5"/>
      <c r="S503" s="5"/>
    </row>
    <row r="504" spans="1:19" x14ac:dyDescent="0.75">
      <c r="A504" t="s">
        <v>15</v>
      </c>
      <c r="B504" s="63">
        <f>Comparisons!I5</f>
        <v>0</v>
      </c>
      <c r="C504" s="12" t="s">
        <v>10</v>
      </c>
      <c r="D504" s="3"/>
      <c r="E504" s="1"/>
      <c r="F504" s="4"/>
      <c r="G504" s="3"/>
      <c r="H504" s="5"/>
      <c r="I504" s="3"/>
      <c r="J504" s="3"/>
      <c r="K504" s="3"/>
      <c r="L504" s="3"/>
      <c r="M504" s="3"/>
      <c r="N504" s="3"/>
      <c r="O504" s="5"/>
      <c r="P504" s="3"/>
      <c r="Q504" s="5"/>
      <c r="R504" s="5"/>
      <c r="S504" s="5"/>
    </row>
    <row r="505" spans="1:19" x14ac:dyDescent="0.75">
      <c r="A505" t="s">
        <v>16</v>
      </c>
      <c r="B505" s="63">
        <f>Comparisons!I6</f>
        <v>0.4</v>
      </c>
      <c r="C505" s="12" t="s">
        <v>53</v>
      </c>
      <c r="D505" s="3"/>
      <c r="E505" s="3"/>
      <c r="F505" s="4"/>
      <c r="G505" s="3"/>
      <c r="H505" s="5"/>
      <c r="I505" s="3"/>
      <c r="J505" s="3"/>
      <c r="K505" s="3"/>
      <c r="L505" s="3"/>
      <c r="M505" s="3"/>
      <c r="N505" s="3"/>
      <c r="O505" s="5"/>
      <c r="P505" s="3"/>
      <c r="Q505" s="5"/>
      <c r="R505" s="5"/>
      <c r="S505" s="5"/>
    </row>
    <row r="506" spans="1:19" x14ac:dyDescent="0.75">
      <c r="A506" t="s">
        <v>18</v>
      </c>
      <c r="B506" s="63">
        <f>Comparisons!I7</f>
        <v>0.15</v>
      </c>
      <c r="C506" s="12" t="s">
        <v>52</v>
      </c>
      <c r="D506" s="3"/>
      <c r="E506" s="3"/>
      <c r="F506" s="4"/>
      <c r="G506" s="3"/>
      <c r="H506" s="5"/>
      <c r="I506" s="3"/>
      <c r="J506" s="3"/>
      <c r="K506" s="3"/>
      <c r="L506" s="3"/>
      <c r="M506" s="3"/>
      <c r="N506" s="3"/>
      <c r="O506" s="5"/>
      <c r="P506" s="3"/>
      <c r="Q506" s="5"/>
      <c r="R506" s="5"/>
      <c r="S506" s="5"/>
    </row>
    <row r="507" spans="1:19" x14ac:dyDescent="0.75">
      <c r="A507" s="2" t="s">
        <v>19</v>
      </c>
      <c r="B507" s="23">
        <f>B504*B505*B506</f>
        <v>0</v>
      </c>
      <c r="C507" s="13" t="s">
        <v>23</v>
      </c>
      <c r="D507" s="3"/>
      <c r="E507" s="3"/>
      <c r="F507" s="4"/>
      <c r="G507" s="3"/>
      <c r="H507" s="5"/>
      <c r="I507" s="3"/>
      <c r="J507" s="3"/>
      <c r="K507" s="3"/>
      <c r="L507" s="3"/>
      <c r="M507" s="3"/>
      <c r="N507" s="3"/>
      <c r="O507" s="5"/>
      <c r="P507" s="3"/>
      <c r="Q507" s="5"/>
      <c r="R507" s="5"/>
      <c r="S507" s="5"/>
    </row>
    <row r="508" spans="1:19" x14ac:dyDescent="0.75">
      <c r="A508" t="s">
        <v>46</v>
      </c>
      <c r="B508" s="61">
        <f>Comparisons!I8</f>
        <v>0</v>
      </c>
      <c r="C508" s="12" t="s">
        <v>10</v>
      </c>
      <c r="D508" s="3"/>
      <c r="E508" s="3"/>
      <c r="F508" s="4"/>
      <c r="G508" s="3"/>
      <c r="H508" s="5"/>
      <c r="I508" s="3"/>
      <c r="J508" s="3"/>
      <c r="K508" s="3"/>
      <c r="L508" s="3"/>
      <c r="M508" s="3"/>
      <c r="N508" s="3"/>
      <c r="O508" s="5"/>
      <c r="P508" s="3"/>
      <c r="Q508" s="5"/>
      <c r="R508" s="5"/>
      <c r="S508" s="5"/>
    </row>
    <row r="509" spans="1:19" x14ac:dyDescent="0.75">
      <c r="A509" t="s">
        <v>47</v>
      </c>
      <c r="B509" s="63">
        <f>Comparisons!I9</f>
        <v>0.2</v>
      </c>
      <c r="C509" s="12" t="s">
        <v>53</v>
      </c>
      <c r="D509" s="3"/>
      <c r="E509" s="3"/>
      <c r="F509" s="4"/>
      <c r="G509" s="3"/>
      <c r="H509" s="5"/>
      <c r="I509" s="3"/>
      <c r="J509" s="3"/>
      <c r="K509" s="3"/>
      <c r="L509" s="3"/>
      <c r="M509" s="3"/>
      <c r="N509" s="3"/>
      <c r="O509" s="5"/>
      <c r="P509" s="3"/>
      <c r="Q509" s="5"/>
      <c r="R509" s="5"/>
      <c r="S509" s="5"/>
    </row>
    <row r="510" spans="1:19" x14ac:dyDescent="0.75">
      <c r="A510" t="s">
        <v>48</v>
      </c>
      <c r="B510" s="63">
        <f>Comparisons!I10</f>
        <v>7.0000000000000007E-2</v>
      </c>
      <c r="C510" s="12" t="s">
        <v>52</v>
      </c>
      <c r="D510" s="3"/>
      <c r="E510" s="3"/>
      <c r="F510" s="4"/>
      <c r="G510" s="3"/>
      <c r="H510" s="5"/>
      <c r="I510" s="3"/>
      <c r="J510" s="3"/>
      <c r="K510" s="3"/>
      <c r="L510" s="3"/>
      <c r="M510" s="3"/>
      <c r="N510" s="3"/>
      <c r="O510" s="5"/>
      <c r="P510" s="3"/>
      <c r="Q510" s="5"/>
      <c r="R510" s="5"/>
      <c r="S510" s="5"/>
    </row>
    <row r="511" spans="1:19" x14ac:dyDescent="0.75">
      <c r="A511" s="2" t="s">
        <v>44</v>
      </c>
      <c r="B511" s="23">
        <f>B508*B509*B510</f>
        <v>0</v>
      </c>
      <c r="C511" s="13" t="s">
        <v>23</v>
      </c>
      <c r="D511" s="3"/>
      <c r="E511" s="3"/>
      <c r="F511" s="4"/>
      <c r="G511" s="3"/>
      <c r="H511" s="5"/>
      <c r="I511" s="3"/>
      <c r="J511" s="3"/>
      <c r="K511" s="3"/>
      <c r="L511" s="3"/>
      <c r="M511" s="3"/>
      <c r="N511" s="3"/>
      <c r="O511" s="5"/>
      <c r="P511" s="3"/>
      <c r="Q511" s="5"/>
      <c r="R511" s="5"/>
      <c r="S511" s="5"/>
    </row>
    <row r="512" spans="1:19" x14ac:dyDescent="0.75">
      <c r="A512" s="2" t="s">
        <v>45</v>
      </c>
      <c r="B512" s="23">
        <f>B507+B511</f>
        <v>0</v>
      </c>
      <c r="C512" s="13" t="s">
        <v>23</v>
      </c>
      <c r="D512" s="3"/>
      <c r="E512" s="3"/>
      <c r="F512" s="4"/>
      <c r="G512" s="3"/>
      <c r="H512" s="5"/>
      <c r="I512" s="3"/>
      <c r="J512" s="3"/>
      <c r="K512" s="3"/>
      <c r="L512" s="3"/>
      <c r="M512" s="3"/>
      <c r="N512" s="3"/>
      <c r="O512" s="5"/>
      <c r="P512" s="3"/>
      <c r="Q512" s="5"/>
      <c r="R512" s="5"/>
      <c r="S512" s="5"/>
    </row>
    <row r="513" spans="1:19" x14ac:dyDescent="0.75">
      <c r="A513" s="2"/>
      <c r="B513" s="20"/>
      <c r="C513" s="13"/>
      <c r="D513" s="3"/>
      <c r="E513" s="3"/>
      <c r="F513" s="4"/>
      <c r="G513" s="3"/>
      <c r="H513" s="5"/>
      <c r="I513" s="3"/>
      <c r="J513" s="3"/>
      <c r="K513" s="3"/>
      <c r="L513" s="3"/>
      <c r="M513" s="3"/>
      <c r="N513" s="3"/>
      <c r="O513" s="5"/>
      <c r="P513" s="3"/>
      <c r="Q513" s="5"/>
      <c r="R513" s="5"/>
      <c r="S513" s="5"/>
    </row>
    <row r="514" spans="1:19" x14ac:dyDescent="0.75">
      <c r="A514" s="1" t="s">
        <v>102</v>
      </c>
      <c r="B514" s="3"/>
      <c r="C514" s="12"/>
      <c r="D514" s="3"/>
      <c r="E514" s="3"/>
      <c r="F514" s="4"/>
      <c r="G514" s="3"/>
      <c r="H514" s="5"/>
      <c r="I514" s="3"/>
      <c r="J514" s="3"/>
      <c r="K514" s="3"/>
      <c r="L514" s="3"/>
      <c r="M514" s="3"/>
      <c r="N514" s="3"/>
      <c r="O514" s="5"/>
      <c r="P514" s="3"/>
      <c r="Q514" s="5"/>
      <c r="R514" s="5"/>
      <c r="S514" s="5"/>
    </row>
    <row r="515" spans="1:19" x14ac:dyDescent="0.75">
      <c r="A515" t="s">
        <v>78</v>
      </c>
      <c r="B515" s="61">
        <v>100</v>
      </c>
      <c r="C515" s="12" t="s">
        <v>79</v>
      </c>
      <c r="D515" s="3"/>
      <c r="E515" t="s">
        <v>62</v>
      </c>
      <c r="F515" s="3">
        <v>2.4</v>
      </c>
      <c r="G515" s="12" t="s">
        <v>64</v>
      </c>
      <c r="H515" s="5"/>
      <c r="I515" s="3"/>
      <c r="J515" s="3"/>
      <c r="K515" s="3"/>
      <c r="L515" s="3"/>
      <c r="M515" s="3"/>
      <c r="N515" s="3"/>
      <c r="O515" s="5"/>
      <c r="P515" s="3"/>
      <c r="Q515" s="5"/>
      <c r="R515" s="5"/>
      <c r="S515" s="5"/>
    </row>
    <row r="516" spans="1:19" x14ac:dyDescent="0.75">
      <c r="A516" t="s">
        <v>27</v>
      </c>
      <c r="B516" s="61">
        <f>Comparisons!I11</f>
        <v>175</v>
      </c>
      <c r="C516" s="12" t="s">
        <v>54</v>
      </c>
      <c r="D516" s="3"/>
      <c r="E516" t="s">
        <v>61</v>
      </c>
      <c r="F516" s="3">
        <f>IF(B521&lt;1.5,2.8,3.2)</f>
        <v>3.2</v>
      </c>
      <c r="G516" s="12" t="s">
        <v>64</v>
      </c>
      <c r="H516" s="5"/>
      <c r="I516" s="3"/>
      <c r="J516" s="3"/>
      <c r="K516" s="3"/>
      <c r="L516" s="3"/>
      <c r="M516" s="3"/>
      <c r="N516" s="3"/>
      <c r="O516" s="5"/>
      <c r="P516" s="3"/>
      <c r="Q516" s="5"/>
      <c r="R516" s="5"/>
      <c r="S516" s="5"/>
    </row>
    <row r="517" spans="1:19" x14ac:dyDescent="0.75">
      <c r="A517" t="s">
        <v>28</v>
      </c>
      <c r="B517" s="63">
        <f>Comparisons!I12</f>
        <v>4.2000000000000003E-2</v>
      </c>
      <c r="C517" s="12" t="s">
        <v>52</v>
      </c>
      <c r="D517" s="3"/>
      <c r="E517" t="s">
        <v>63</v>
      </c>
      <c r="F517" s="3">
        <f>IF(B521&lt;1.5,3.5,3.9)</f>
        <v>3.9</v>
      </c>
      <c r="G517" s="12" t="s">
        <v>64</v>
      </c>
      <c r="H517" s="5"/>
      <c r="I517" s="3"/>
      <c r="J517" s="4"/>
      <c r="K517" s="3"/>
      <c r="L517" s="3"/>
      <c r="M517" s="3"/>
      <c r="N517" s="3"/>
      <c r="O517" s="5"/>
      <c r="P517" s="3"/>
      <c r="Q517" s="5"/>
      <c r="R517" s="5"/>
      <c r="S517" s="5"/>
    </row>
    <row r="518" spans="1:19" x14ac:dyDescent="0.75">
      <c r="A518" t="s">
        <v>29</v>
      </c>
      <c r="B518" s="63">
        <f>Comparisons!I13</f>
        <v>5.7000000000000002E-2</v>
      </c>
      <c r="C518" s="12" t="s">
        <v>52</v>
      </c>
      <c r="D518" s="3"/>
      <c r="E518" t="s">
        <v>62</v>
      </c>
      <c r="F518" s="25">
        <f>B516*F515/100*B517</f>
        <v>0.17640000000000003</v>
      </c>
      <c r="G518" s="12" t="s">
        <v>55</v>
      </c>
      <c r="H518" s="5"/>
      <c r="I518" s="3"/>
      <c r="J518" s="4"/>
      <c r="K518" s="3"/>
      <c r="L518" s="3"/>
      <c r="M518" s="3"/>
      <c r="N518" s="3"/>
      <c r="O518" s="5"/>
      <c r="P518" s="3"/>
      <c r="Q518" s="5"/>
      <c r="R518" s="5"/>
      <c r="S518" s="5"/>
    </row>
    <row r="519" spans="1:19" x14ac:dyDescent="0.75">
      <c r="A519" t="s">
        <v>30</v>
      </c>
      <c r="B519" s="63">
        <f>Comparisons!I14</f>
        <v>12</v>
      </c>
      <c r="C519" s="12" t="s">
        <v>82</v>
      </c>
      <c r="D519" s="3"/>
      <c r="E519" t="s">
        <v>61</v>
      </c>
      <c r="F519" s="25">
        <f>F516/100*B516*B518</f>
        <v>0.31920000000000004</v>
      </c>
      <c r="G519" s="12" t="s">
        <v>55</v>
      </c>
      <c r="H519" s="5"/>
      <c r="I519" s="3"/>
      <c r="J519" s="4"/>
      <c r="K519" s="3"/>
      <c r="L519" s="3"/>
      <c r="M519" s="3"/>
      <c r="N519" s="3"/>
      <c r="O519" s="5"/>
      <c r="P519" s="3"/>
      <c r="Q519" s="5"/>
      <c r="R519" s="5"/>
      <c r="S519" s="5"/>
    </row>
    <row r="520" spans="1:19" x14ac:dyDescent="0.75">
      <c r="A520" t="s">
        <v>31</v>
      </c>
      <c r="B520" s="63">
        <f>Comparisons!I15</f>
        <v>94</v>
      </c>
      <c r="C520" s="12" t="s">
        <v>25</v>
      </c>
      <c r="D520" s="3"/>
      <c r="E520" t="s">
        <v>63</v>
      </c>
      <c r="F520" s="25">
        <f>B516*F517/100*B518</f>
        <v>0.38902500000000001</v>
      </c>
      <c r="G520" s="12" t="s">
        <v>55</v>
      </c>
      <c r="H520" s="5"/>
      <c r="I520" s="3"/>
      <c r="J520" s="4"/>
      <c r="K520" s="3"/>
      <c r="L520" s="3"/>
      <c r="M520" s="3"/>
      <c r="N520" s="3"/>
      <c r="O520" s="5"/>
      <c r="P520" s="3"/>
      <c r="Q520" s="5"/>
      <c r="R520" s="5"/>
      <c r="S520" s="5"/>
    </row>
    <row r="521" spans="1:19" x14ac:dyDescent="0.75">
      <c r="A521" t="s">
        <v>32</v>
      </c>
      <c r="B521" s="63">
        <f>Comparisons!I16</f>
        <v>1.9</v>
      </c>
      <c r="C521" s="12" t="s">
        <v>33</v>
      </c>
      <c r="D521" s="3"/>
      <c r="E521" t="s">
        <v>26</v>
      </c>
      <c r="F521" s="3">
        <f>(B519*30-4*7-B503)*F518</f>
        <v>47.098800000000004</v>
      </c>
      <c r="G521" s="12" t="s">
        <v>80</v>
      </c>
      <c r="H521" s="5"/>
      <c r="I521" s="3"/>
      <c r="J521" s="4"/>
      <c r="K521" s="3"/>
      <c r="L521" s="3"/>
      <c r="M521" s="3"/>
      <c r="N521" s="3"/>
      <c r="O521" s="5"/>
      <c r="P521" s="3"/>
      <c r="Q521" s="5"/>
      <c r="R521" s="5"/>
      <c r="S521" s="5"/>
    </row>
    <row r="522" spans="1:19" x14ac:dyDescent="0.75">
      <c r="A522" t="s">
        <v>60</v>
      </c>
      <c r="B522" s="63">
        <f>Comparisons!I17</f>
        <v>11</v>
      </c>
      <c r="C522" s="12" t="s">
        <v>84</v>
      </c>
      <c r="D522" s="3"/>
      <c r="E522" t="s">
        <v>65</v>
      </c>
      <c r="F522" s="3">
        <f>4*7*F519</f>
        <v>8.9376000000000015</v>
      </c>
      <c r="G522" s="12" t="s">
        <v>80</v>
      </c>
      <c r="H522" s="5"/>
      <c r="I522" s="3"/>
      <c r="J522" s="4"/>
      <c r="K522" s="3"/>
      <c r="L522" s="3"/>
      <c r="M522" s="3"/>
      <c r="N522" s="3"/>
      <c r="O522" s="5"/>
      <c r="P522" s="3"/>
      <c r="Q522" s="5"/>
      <c r="R522" s="5"/>
      <c r="S522" s="5"/>
    </row>
    <row r="523" spans="1:19" x14ac:dyDescent="0.75">
      <c r="A523" t="s">
        <v>59</v>
      </c>
      <c r="B523" s="63">
        <f>Comparisons!I18</f>
        <v>3</v>
      </c>
      <c r="C523" s="12" t="s">
        <v>85</v>
      </c>
      <c r="D523" s="3"/>
      <c r="E523" t="s">
        <v>66</v>
      </c>
      <c r="F523" s="10">
        <f>B503*F520</f>
        <v>25.286625000000001</v>
      </c>
      <c r="G523" s="12" t="s">
        <v>80</v>
      </c>
      <c r="H523" s="5"/>
      <c r="I523" s="3"/>
      <c r="J523" s="4"/>
      <c r="K523" s="3"/>
      <c r="L523" s="3"/>
      <c r="M523" s="3"/>
      <c r="N523" s="3"/>
      <c r="O523" s="5"/>
      <c r="P523" s="3"/>
      <c r="Q523" s="5"/>
      <c r="R523" s="5"/>
      <c r="S523" s="5"/>
    </row>
    <row r="524" spans="1:19" x14ac:dyDescent="0.75">
      <c r="A524" s="21" t="s">
        <v>72</v>
      </c>
      <c r="B524" s="24">
        <f>B515*B520/100*B521*(1-B522/100)*(1-B523/100)</f>
        <v>154.18538000000001</v>
      </c>
      <c r="C524" s="13" t="s">
        <v>77</v>
      </c>
      <c r="D524" s="3"/>
      <c r="E524" t="s">
        <v>56</v>
      </c>
      <c r="F524" s="3">
        <f>F521+F522+F523</f>
        <v>81.323025000000001</v>
      </c>
      <c r="G524" s="12" t="s">
        <v>98</v>
      </c>
      <c r="H524" s="5"/>
      <c r="I524" s="3"/>
      <c r="J524" s="4"/>
      <c r="K524" s="3"/>
      <c r="L524" s="3"/>
      <c r="M524" s="3"/>
      <c r="N524" s="3"/>
      <c r="O524" s="5"/>
      <c r="P524" s="3"/>
      <c r="Q524" s="5"/>
      <c r="R524" s="5"/>
      <c r="S524" s="5"/>
    </row>
    <row r="525" spans="1:19" s="19" customFormat="1" x14ac:dyDescent="0.75">
      <c r="A525" s="22" t="s">
        <v>71</v>
      </c>
      <c r="B525" s="26">
        <f>B521*B520/100</f>
        <v>1.786</v>
      </c>
      <c r="C525" s="13" t="s">
        <v>96</v>
      </c>
      <c r="D525" s="16"/>
      <c r="E525" t="s">
        <v>57</v>
      </c>
      <c r="F525" s="5">
        <f>(F518*365)*(1-B520/100)+F524*B520/100</f>
        <v>80.306803500000001</v>
      </c>
      <c r="G525" s="12" t="s">
        <v>81</v>
      </c>
      <c r="H525" s="18"/>
      <c r="I525" s="16"/>
      <c r="J525" s="17"/>
      <c r="K525" s="16"/>
      <c r="L525" s="16"/>
      <c r="M525" s="16"/>
      <c r="N525" s="16"/>
      <c r="O525" s="18"/>
      <c r="P525" s="16"/>
      <c r="Q525" s="18"/>
      <c r="R525" s="18"/>
      <c r="S525" s="18"/>
    </row>
    <row r="526" spans="1:19" x14ac:dyDescent="0.75">
      <c r="A526" s="22" t="s">
        <v>70</v>
      </c>
      <c r="B526" s="26">
        <f>B520/100*B521*(1-B522/100)*(1-B523/100)</f>
        <v>1.5418537999999999</v>
      </c>
      <c r="C526" s="13" t="s">
        <v>97</v>
      </c>
      <c r="D526" s="3"/>
      <c r="E526" s="2" t="s">
        <v>58</v>
      </c>
      <c r="F526" s="26">
        <f>F525/B526</f>
        <v>52.084577344492715</v>
      </c>
      <c r="G526" s="13" t="s">
        <v>118</v>
      </c>
      <c r="H526" s="5"/>
      <c r="I526" s="3"/>
      <c r="J526" s="3"/>
      <c r="K526" s="3"/>
      <c r="L526" s="3"/>
      <c r="M526" s="3"/>
      <c r="N526" s="3"/>
      <c r="O526" s="5"/>
      <c r="P526" s="3"/>
      <c r="Q526" s="5"/>
      <c r="R526" s="5"/>
      <c r="S526" s="5"/>
    </row>
    <row r="527" spans="1:19" x14ac:dyDescent="0.75">
      <c r="B527" s="3"/>
      <c r="C527" s="3"/>
      <c r="D527" s="3"/>
      <c r="E527" s="3"/>
      <c r="F527" s="4"/>
      <c r="G527" s="3"/>
      <c r="H527" s="5"/>
      <c r="I527" s="3"/>
      <c r="J527" s="3"/>
      <c r="K527" s="3"/>
      <c r="L527" s="3"/>
      <c r="M527" s="3"/>
      <c r="N527" s="3"/>
      <c r="O527" s="5"/>
      <c r="P527" s="3"/>
      <c r="Q527" s="5"/>
      <c r="R527" s="5"/>
      <c r="S527" s="5"/>
    </row>
    <row r="528" spans="1:19" x14ac:dyDescent="0.75">
      <c r="A528" s="1" t="s">
        <v>83</v>
      </c>
      <c r="B528" s="3"/>
      <c r="C528" s="12"/>
      <c r="D528" s="3"/>
      <c r="E528" s="3"/>
      <c r="F528" s="4"/>
      <c r="G528" s="3"/>
      <c r="H528" s="4"/>
      <c r="I528" s="3"/>
      <c r="J528" s="5"/>
      <c r="K528" s="3"/>
      <c r="L528" s="3"/>
      <c r="M528" s="3"/>
      <c r="N528" s="3"/>
      <c r="O528" s="5"/>
      <c r="P528" s="3"/>
      <c r="Q528" s="5"/>
      <c r="R528" s="5"/>
      <c r="S528" s="5"/>
    </row>
    <row r="529" spans="1:19" x14ac:dyDescent="0.75">
      <c r="A529" t="s">
        <v>36</v>
      </c>
      <c r="B529" s="61">
        <f>Comparisons!I19</f>
        <v>10</v>
      </c>
      <c r="C529" s="12" t="s">
        <v>35</v>
      </c>
      <c r="D529" s="3"/>
      <c r="E529" s="3"/>
      <c r="F529" s="4"/>
      <c r="G529" s="3"/>
      <c r="H529" s="5"/>
      <c r="I529" s="3"/>
      <c r="J529" s="3"/>
      <c r="K529" s="3"/>
      <c r="L529" s="3"/>
      <c r="M529" s="3"/>
      <c r="N529" s="3"/>
      <c r="O529" s="5"/>
      <c r="P529" s="3"/>
      <c r="Q529" s="5"/>
      <c r="R529" s="5"/>
      <c r="S529" s="5"/>
    </row>
    <row r="530" spans="1:19" x14ac:dyDescent="0.75">
      <c r="A530" t="s">
        <v>34</v>
      </c>
      <c r="B530" s="63">
        <f>Comparisons!I20</f>
        <v>0.4</v>
      </c>
      <c r="C530" s="12" t="s">
        <v>99</v>
      </c>
      <c r="D530" s="3"/>
      <c r="E530" s="3"/>
      <c r="F530" s="4"/>
      <c r="G530" s="3"/>
      <c r="H530" s="5"/>
      <c r="I530" s="3"/>
      <c r="J530" s="3"/>
      <c r="K530" s="3"/>
      <c r="L530" s="3"/>
      <c r="M530" s="3"/>
      <c r="N530" s="3"/>
      <c r="O530" s="5"/>
      <c r="P530" s="3"/>
      <c r="Q530" s="5"/>
      <c r="R530" s="5"/>
      <c r="S530" s="5"/>
    </row>
    <row r="531" spans="1:19" x14ac:dyDescent="0.75">
      <c r="A531" t="s">
        <v>100</v>
      </c>
      <c r="B531" s="63">
        <f>Comparisons!I21</f>
        <v>2.25</v>
      </c>
      <c r="C531" s="12" t="s">
        <v>99</v>
      </c>
      <c r="D531" s="3"/>
      <c r="E531" s="3"/>
      <c r="F531" s="4"/>
      <c r="G531" s="3"/>
      <c r="H531" s="5"/>
      <c r="I531" s="3"/>
      <c r="J531" s="3"/>
      <c r="K531" s="3"/>
      <c r="L531" s="3"/>
      <c r="M531" s="3"/>
      <c r="N531" s="3"/>
      <c r="O531" s="5"/>
      <c r="P531" s="3"/>
      <c r="Q531" s="5"/>
      <c r="R531" s="5"/>
      <c r="S531" s="5"/>
    </row>
    <row r="532" spans="1:19" x14ac:dyDescent="0.75">
      <c r="A532" t="s">
        <v>67</v>
      </c>
      <c r="B532" s="63">
        <f>Comparisons!I22</f>
        <v>8</v>
      </c>
      <c r="C532" s="12" t="s">
        <v>80</v>
      </c>
      <c r="D532" s="3"/>
      <c r="E532" s="3"/>
      <c r="F532" s="4"/>
      <c r="G532" s="3"/>
      <c r="H532" s="5"/>
      <c r="I532" s="3"/>
      <c r="J532" s="3"/>
      <c r="K532" s="3"/>
      <c r="L532" s="3"/>
      <c r="M532" s="3"/>
      <c r="N532" s="3"/>
      <c r="O532" s="5"/>
      <c r="P532" s="3"/>
      <c r="Q532" s="5"/>
      <c r="R532" s="5"/>
      <c r="S532" s="5"/>
    </row>
    <row r="533" spans="1:19" x14ac:dyDescent="0.75">
      <c r="A533" t="s">
        <v>101</v>
      </c>
      <c r="B533" s="63">
        <f>Comparisons!I23</f>
        <v>3</v>
      </c>
      <c r="C533" s="12" t="s">
        <v>80</v>
      </c>
      <c r="D533" s="3"/>
      <c r="E533" s="3"/>
      <c r="F533" s="4"/>
      <c r="G533" s="3"/>
      <c r="H533" s="5"/>
      <c r="I533" s="3"/>
      <c r="J533" s="3"/>
      <c r="K533" s="3"/>
      <c r="L533" s="3"/>
      <c r="M533" s="3"/>
      <c r="N533" s="3"/>
      <c r="O533" s="5"/>
      <c r="P533" s="3"/>
      <c r="Q533" s="5"/>
      <c r="R533" s="5"/>
      <c r="S533" s="5"/>
    </row>
    <row r="534" spans="1:19" x14ac:dyDescent="0.75">
      <c r="A534" t="s">
        <v>37</v>
      </c>
      <c r="B534" s="5">
        <f>B531*B529+B530*B529*(B520/100)</f>
        <v>26.259999999999998</v>
      </c>
      <c r="C534" s="12" t="s">
        <v>81</v>
      </c>
      <c r="D534" s="3"/>
      <c r="E534" s="3"/>
      <c r="F534" s="4"/>
      <c r="G534" s="3"/>
      <c r="H534" s="5"/>
      <c r="I534" s="3"/>
      <c r="J534" s="3"/>
      <c r="K534" s="3"/>
      <c r="L534" s="3"/>
      <c r="M534" s="3"/>
      <c r="N534" s="3"/>
      <c r="O534" s="5"/>
      <c r="P534" s="3"/>
      <c r="Q534" s="5"/>
      <c r="R534" s="5"/>
      <c r="S534" s="5"/>
    </row>
    <row r="535" spans="1:19" x14ac:dyDescent="0.75">
      <c r="A535" t="s">
        <v>38</v>
      </c>
      <c r="B535" s="5">
        <f>B532*B520/100+B533*(1-B520/100)</f>
        <v>7.6999999999999993</v>
      </c>
      <c r="C535" s="12" t="s">
        <v>81</v>
      </c>
      <c r="D535" s="3"/>
      <c r="E535" s="3"/>
      <c r="F535" s="4"/>
      <c r="G535" s="3"/>
      <c r="H535" s="5"/>
      <c r="I535" s="3"/>
      <c r="J535" s="3"/>
      <c r="K535" s="3"/>
      <c r="L535" s="3"/>
      <c r="M535" s="3"/>
      <c r="N535" s="3"/>
      <c r="O535" s="5"/>
      <c r="P535" s="3"/>
      <c r="Q535" s="5"/>
      <c r="R535" s="5"/>
      <c r="S535" s="5"/>
    </row>
    <row r="536" spans="1:19" x14ac:dyDescent="0.75">
      <c r="A536" t="s">
        <v>68</v>
      </c>
      <c r="B536" s="5">
        <f>SUM(B534:B535)</f>
        <v>33.959999999999994</v>
      </c>
      <c r="C536" s="12" t="s">
        <v>81</v>
      </c>
      <c r="D536" s="3"/>
      <c r="E536" s="3"/>
      <c r="F536" s="4"/>
      <c r="G536" s="3"/>
      <c r="H536" s="5"/>
      <c r="I536" s="3"/>
      <c r="J536" s="3"/>
      <c r="K536" s="3"/>
      <c r="L536" s="3"/>
      <c r="M536" s="3"/>
      <c r="N536" s="3"/>
      <c r="O536" s="5"/>
      <c r="P536" s="3"/>
      <c r="Q536" s="5"/>
      <c r="R536" s="5"/>
      <c r="S536" s="5"/>
    </row>
    <row r="537" spans="1:19" s="2" customFormat="1" x14ac:dyDescent="0.75">
      <c r="A537" s="2" t="s">
        <v>39</v>
      </c>
      <c r="B537" s="26">
        <f>B536/B526</f>
        <v>22.025434577519604</v>
      </c>
      <c r="C537" s="13" t="s">
        <v>118</v>
      </c>
      <c r="D537" s="6"/>
      <c r="E537" s="6"/>
      <c r="F537" s="7"/>
      <c r="G537" s="6"/>
      <c r="H537" s="8"/>
      <c r="I537" s="6"/>
      <c r="J537" s="6"/>
      <c r="K537" s="6"/>
      <c r="L537" s="6"/>
      <c r="M537" s="6"/>
      <c r="N537" s="6"/>
      <c r="O537" s="8"/>
      <c r="P537" s="6"/>
      <c r="Q537" s="8"/>
      <c r="R537" s="8"/>
      <c r="S537" s="8"/>
    </row>
    <row r="538" spans="1:19" s="2" customFormat="1" x14ac:dyDescent="0.75">
      <c r="B538" s="29"/>
      <c r="C538" s="13"/>
      <c r="D538" s="6"/>
      <c r="E538" s="6"/>
      <c r="F538" s="7"/>
      <c r="G538" s="6"/>
      <c r="H538" s="8"/>
      <c r="I538" s="6"/>
      <c r="J538" s="6"/>
      <c r="K538" s="6"/>
      <c r="L538" s="6"/>
      <c r="M538" s="6"/>
      <c r="N538" s="6"/>
      <c r="O538" s="8"/>
      <c r="P538" s="6"/>
      <c r="Q538" s="8"/>
      <c r="R538" s="8"/>
      <c r="S538" s="8"/>
    </row>
    <row r="539" spans="1:19" s="2" customFormat="1" x14ac:dyDescent="0.75">
      <c r="A539" s="1" t="s">
        <v>103</v>
      </c>
      <c r="B539" s="29"/>
      <c r="C539" s="13"/>
      <c r="D539" s="6"/>
      <c r="E539" s="6"/>
      <c r="F539" s="7"/>
      <c r="G539" s="6"/>
      <c r="H539" s="8"/>
      <c r="I539" s="6"/>
      <c r="J539" s="6"/>
      <c r="K539" s="6"/>
      <c r="L539" s="6"/>
      <c r="M539" s="6"/>
      <c r="N539" s="6"/>
      <c r="O539" s="8"/>
      <c r="P539" s="6"/>
      <c r="Q539" s="8"/>
      <c r="R539" s="8"/>
      <c r="S539" s="8"/>
    </row>
    <row r="540" spans="1:19" s="2" customFormat="1" x14ac:dyDescent="0.75">
      <c r="A540" s="30" t="s">
        <v>104</v>
      </c>
      <c r="B540" s="33">
        <f>Comparisons!I24</f>
        <v>15</v>
      </c>
      <c r="C540" s="32" t="s">
        <v>105</v>
      </c>
      <c r="D540" s="6"/>
      <c r="E540" s="6"/>
      <c r="F540" s="7"/>
      <c r="G540" s="6"/>
      <c r="H540" s="8"/>
      <c r="I540" s="6"/>
      <c r="J540" s="6"/>
      <c r="K540" s="6"/>
      <c r="L540" s="6"/>
      <c r="M540" s="6"/>
      <c r="N540" s="6"/>
      <c r="O540" s="8"/>
      <c r="P540" s="6"/>
      <c r="Q540" s="8"/>
      <c r="R540" s="8"/>
      <c r="S540" s="8"/>
    </row>
    <row r="541" spans="1:19" s="2" customFormat="1" x14ac:dyDescent="0.75">
      <c r="A541" s="30" t="s">
        <v>106</v>
      </c>
      <c r="B541" s="33">
        <f>Comparisons!I25</f>
        <v>6.5000000000000002E-2</v>
      </c>
      <c r="C541" s="32" t="s">
        <v>52</v>
      </c>
      <c r="D541" s="6"/>
      <c r="E541" s="6"/>
      <c r="F541" s="7"/>
      <c r="G541" s="6"/>
      <c r="H541" s="8"/>
      <c r="I541" s="6"/>
      <c r="J541" s="6"/>
      <c r="K541" s="6"/>
      <c r="L541" s="6"/>
      <c r="M541" s="6"/>
      <c r="N541" s="6"/>
      <c r="O541" s="8"/>
      <c r="P541" s="6"/>
      <c r="Q541" s="8"/>
      <c r="R541" s="8"/>
      <c r="S541" s="8"/>
    </row>
    <row r="542" spans="1:19" s="2" customFormat="1" x14ac:dyDescent="0.75">
      <c r="A542" s="30" t="s">
        <v>110</v>
      </c>
      <c r="B542" s="33">
        <f>Comparisons!I26</f>
        <v>115</v>
      </c>
      <c r="C542" s="30" t="s">
        <v>54</v>
      </c>
      <c r="D542" s="6"/>
      <c r="E542" s="6"/>
      <c r="F542" s="7"/>
      <c r="G542" s="6"/>
      <c r="H542" s="8"/>
      <c r="I542" s="6"/>
      <c r="J542" s="6"/>
      <c r="K542" s="6"/>
      <c r="L542" s="6"/>
      <c r="M542" s="6"/>
      <c r="N542" s="6"/>
      <c r="O542" s="8"/>
      <c r="P542" s="6"/>
      <c r="Q542" s="8"/>
      <c r="R542" s="8"/>
      <c r="S542" s="8"/>
    </row>
    <row r="543" spans="1:19" s="2" customFormat="1" x14ac:dyDescent="0.75">
      <c r="A543" s="30" t="s">
        <v>107</v>
      </c>
      <c r="B543" s="33">
        <f>Comparisons!I27</f>
        <v>230</v>
      </c>
      <c r="C543" s="32" t="s">
        <v>10</v>
      </c>
      <c r="D543" s="6"/>
      <c r="E543" s="6"/>
      <c r="F543" s="7"/>
      <c r="G543" s="6"/>
      <c r="H543" s="8"/>
      <c r="I543" s="6"/>
      <c r="J543" s="6"/>
      <c r="K543" s="6"/>
      <c r="L543" s="6"/>
      <c r="M543" s="6"/>
      <c r="N543" s="6"/>
      <c r="O543" s="8"/>
      <c r="P543" s="6"/>
      <c r="Q543" s="8"/>
      <c r="R543" s="8"/>
      <c r="S543" s="8"/>
    </row>
    <row r="544" spans="1:19" s="2" customFormat="1" x14ac:dyDescent="0.75">
      <c r="A544" s="30" t="s">
        <v>108</v>
      </c>
      <c r="B544" s="31">
        <f>0.032*(B542-B502)/(LN(B542/B502)/(B543-B503))*B541</f>
        <v>26.317478616268733</v>
      </c>
      <c r="C544" s="32" t="s">
        <v>109</v>
      </c>
      <c r="D544" s="6"/>
      <c r="E544" s="6"/>
      <c r="F544" s="7"/>
      <c r="G544" s="6"/>
      <c r="H544" s="8"/>
      <c r="I544" s="6"/>
      <c r="J544" s="6"/>
      <c r="K544" s="6"/>
      <c r="L544" s="6"/>
      <c r="M544" s="6"/>
      <c r="N544" s="6"/>
      <c r="O544" s="8"/>
      <c r="P544" s="6"/>
      <c r="Q544" s="8"/>
      <c r="R544" s="8"/>
      <c r="S544" s="8"/>
    </row>
    <row r="545" spans="1:19" s="2" customFormat="1" x14ac:dyDescent="0.75">
      <c r="A545" s="41" t="s">
        <v>108</v>
      </c>
      <c r="B545" s="26">
        <f>B544*(B540/100)</f>
        <v>3.9476217924403096</v>
      </c>
      <c r="C545" s="13" t="s">
        <v>119</v>
      </c>
      <c r="D545" s="6"/>
      <c r="E545" s="6"/>
      <c r="F545" s="7"/>
      <c r="G545" s="6"/>
      <c r="H545" s="8"/>
      <c r="I545" s="6"/>
      <c r="J545" s="6"/>
      <c r="K545" s="6"/>
      <c r="L545" s="6"/>
      <c r="M545" s="6"/>
      <c r="N545" s="6"/>
      <c r="O545" s="8"/>
      <c r="P545" s="6"/>
      <c r="Q545" s="8"/>
      <c r="R545" s="8"/>
      <c r="S545" s="8"/>
    </row>
    <row r="546" spans="1:19" s="36" customFormat="1" x14ac:dyDescent="0.75">
      <c r="A546" s="41"/>
      <c r="B546" s="29"/>
      <c r="C546" s="37"/>
      <c r="D546" s="42"/>
      <c r="E546" s="42"/>
      <c r="F546" s="43"/>
      <c r="G546" s="42"/>
      <c r="H546" s="29"/>
      <c r="I546" s="42"/>
      <c r="J546" s="42"/>
      <c r="K546" s="42"/>
      <c r="L546" s="42"/>
      <c r="M546" s="42"/>
      <c r="N546" s="42"/>
      <c r="O546" s="29"/>
      <c r="P546" s="42"/>
      <c r="Q546" s="29"/>
      <c r="R546" s="29"/>
      <c r="S546" s="29"/>
    </row>
    <row r="547" spans="1:19" s="2" customFormat="1" x14ac:dyDescent="0.75">
      <c r="A547" s="40" t="s">
        <v>114</v>
      </c>
      <c r="B547" s="44">
        <f>Comparisons!I28</f>
        <v>10</v>
      </c>
      <c r="C547" s="32" t="s">
        <v>109</v>
      </c>
      <c r="D547" s="6"/>
      <c r="E547" s="6"/>
      <c r="F547" s="7"/>
      <c r="G547" s="6"/>
      <c r="H547" s="8"/>
      <c r="I547" s="6"/>
      <c r="J547" s="6"/>
      <c r="K547" s="6"/>
      <c r="L547" s="6"/>
      <c r="M547" s="6"/>
      <c r="N547" s="6"/>
      <c r="O547" s="8"/>
      <c r="P547" s="6"/>
      <c r="Q547" s="8"/>
      <c r="R547" s="8"/>
      <c r="S547" s="8"/>
    </row>
    <row r="548" spans="1:19" s="2" customFormat="1" x14ac:dyDescent="0.75">
      <c r="A548" s="41" t="s">
        <v>114</v>
      </c>
      <c r="B548" s="26">
        <f>B547*(B540/100)</f>
        <v>1.5</v>
      </c>
      <c r="C548" s="13" t="s">
        <v>119</v>
      </c>
      <c r="D548" s="6"/>
      <c r="E548" s="6"/>
      <c r="F548" s="7"/>
      <c r="G548" s="6"/>
      <c r="H548" s="8"/>
      <c r="I548" s="6"/>
      <c r="J548" s="6"/>
      <c r="K548" s="6"/>
      <c r="L548" s="6"/>
      <c r="M548" s="6"/>
      <c r="N548" s="6"/>
      <c r="O548" s="8"/>
      <c r="P548" s="6"/>
      <c r="Q548" s="8"/>
      <c r="R548" s="8"/>
      <c r="S548" s="8"/>
    </row>
    <row r="549" spans="1:19" s="2" customFormat="1" x14ac:dyDescent="0.75">
      <c r="A549" s="41"/>
      <c r="B549" s="29"/>
      <c r="C549" s="13"/>
      <c r="D549" s="6"/>
      <c r="E549" s="6"/>
      <c r="F549" s="7"/>
      <c r="G549" s="6"/>
      <c r="H549" s="8"/>
      <c r="I549" s="6"/>
      <c r="J549" s="6"/>
      <c r="K549" s="6"/>
      <c r="L549" s="6"/>
      <c r="M549" s="6"/>
      <c r="N549" s="6"/>
      <c r="O549" s="8"/>
      <c r="P549" s="6"/>
      <c r="Q549" s="8"/>
      <c r="R549" s="8"/>
      <c r="S549" s="8"/>
    </row>
    <row r="550" spans="1:19" s="2" customFormat="1" x14ac:dyDescent="0.75">
      <c r="A550" s="38" t="s">
        <v>111</v>
      </c>
      <c r="B550" s="34">
        <f>Comparisons!I29</f>
        <v>0.75</v>
      </c>
      <c r="C550" s="39" t="s">
        <v>112</v>
      </c>
      <c r="D550" s="6"/>
      <c r="E550" s="6"/>
      <c r="F550" s="7"/>
      <c r="G550" s="6"/>
      <c r="H550" s="8"/>
      <c r="I550" s="6"/>
      <c r="J550" s="6"/>
      <c r="K550" s="6"/>
      <c r="L550" s="6"/>
      <c r="M550" s="6"/>
      <c r="N550" s="6"/>
      <c r="O550" s="8"/>
      <c r="P550" s="6"/>
      <c r="Q550" s="8"/>
      <c r="R550" s="8"/>
      <c r="S550" s="8"/>
    </row>
    <row r="551" spans="1:19" s="2" customFormat="1" x14ac:dyDescent="0.75">
      <c r="A551" s="41" t="s">
        <v>113</v>
      </c>
      <c r="B551" s="45">
        <f>B550*B516*B540/100/B526</f>
        <v>12.768720354679543</v>
      </c>
      <c r="C551" s="13" t="s">
        <v>119</v>
      </c>
      <c r="D551" s="6"/>
      <c r="E551" s="6"/>
      <c r="F551" s="7"/>
      <c r="G551" s="6"/>
      <c r="H551" s="8"/>
      <c r="I551" s="6"/>
      <c r="J551" s="6"/>
      <c r="K551" s="6"/>
      <c r="L551" s="6"/>
      <c r="M551" s="6"/>
      <c r="N551" s="6"/>
      <c r="O551" s="8"/>
      <c r="P551" s="6"/>
      <c r="Q551" s="8"/>
      <c r="R551" s="8"/>
      <c r="S551" s="8"/>
    </row>
    <row r="553" spans="1:19" x14ac:dyDescent="0.75">
      <c r="A553" s="1" t="s">
        <v>88</v>
      </c>
      <c r="B553" s="3"/>
      <c r="C553" s="3"/>
      <c r="D553" s="90" t="s">
        <v>127</v>
      </c>
      <c r="E553" s="90"/>
      <c r="F553" s="90"/>
      <c r="G553" s="86" t="s">
        <v>123</v>
      </c>
      <c r="H553" s="86"/>
      <c r="I553" s="86"/>
      <c r="J553" s="86"/>
      <c r="K553" s="87" t="s">
        <v>124</v>
      </c>
      <c r="L553" s="88"/>
      <c r="M553" s="88"/>
      <c r="N553" s="88"/>
      <c r="O553" s="89"/>
      <c r="P553" s="91" t="s">
        <v>130</v>
      </c>
      <c r="Q553" s="92"/>
      <c r="R553" s="92"/>
      <c r="S553" s="93"/>
    </row>
    <row r="554" spans="1:19" x14ac:dyDescent="0.75">
      <c r="A554" s="3" t="s">
        <v>0</v>
      </c>
      <c r="B554" s="3" t="s">
        <v>40</v>
      </c>
      <c r="C554" s="3" t="s">
        <v>6</v>
      </c>
      <c r="D554" s="3" t="s">
        <v>3</v>
      </c>
      <c r="E554" s="3" t="s">
        <v>2</v>
      </c>
      <c r="F554" s="3" t="s">
        <v>5</v>
      </c>
      <c r="G554" s="3" t="s">
        <v>8</v>
      </c>
      <c r="H554" s="3" t="s">
        <v>69</v>
      </c>
      <c r="I554" s="3" t="s">
        <v>126</v>
      </c>
      <c r="J554" s="3" t="s">
        <v>125</v>
      </c>
      <c r="K554" s="3" t="s">
        <v>50</v>
      </c>
      <c r="L554" s="3" t="s">
        <v>22</v>
      </c>
      <c r="M554" s="3" t="s">
        <v>7</v>
      </c>
      <c r="N554" s="3" t="s">
        <v>51</v>
      </c>
      <c r="O554" s="3" t="s">
        <v>21</v>
      </c>
      <c r="P554" s="3" t="s">
        <v>8</v>
      </c>
      <c r="Q554" s="3" t="s">
        <v>69</v>
      </c>
      <c r="R554" s="3" t="s">
        <v>126</v>
      </c>
      <c r="S554" s="3" t="s">
        <v>125</v>
      </c>
    </row>
    <row r="555" spans="1:19" x14ac:dyDescent="0.75">
      <c r="A555" s="3" t="s">
        <v>24</v>
      </c>
      <c r="B555" s="3" t="s">
        <v>25</v>
      </c>
      <c r="C555" s="3" t="s">
        <v>10</v>
      </c>
      <c r="D555" s="3" t="s">
        <v>12</v>
      </c>
      <c r="E555" s="3" t="s">
        <v>17</v>
      </c>
      <c r="F555" s="3" t="s">
        <v>52</v>
      </c>
      <c r="G555" s="3" t="s">
        <v>23</v>
      </c>
      <c r="H555" s="3" t="s">
        <v>86</v>
      </c>
      <c r="I555" s="3" t="s">
        <v>23</v>
      </c>
      <c r="J555" s="3" t="s">
        <v>87</v>
      </c>
      <c r="K555" s="3" t="s">
        <v>76</v>
      </c>
      <c r="L555" s="3" t="s">
        <v>76</v>
      </c>
      <c r="M555" s="3" t="s">
        <v>23</v>
      </c>
      <c r="N555" s="3" t="s">
        <v>23</v>
      </c>
      <c r="O555" s="3" t="s">
        <v>25</v>
      </c>
      <c r="P555" s="3" t="s">
        <v>23</v>
      </c>
      <c r="Q555" s="3" t="s">
        <v>86</v>
      </c>
      <c r="R555" s="3" t="s">
        <v>23</v>
      </c>
      <c r="S555" s="3" t="s">
        <v>23</v>
      </c>
    </row>
    <row r="556" spans="1:19" x14ac:dyDescent="0.75">
      <c r="A556" s="5">
        <f>B502</f>
        <v>48</v>
      </c>
      <c r="B556" s="5">
        <f>A556/$B$516*100</f>
        <v>27.428571428571431</v>
      </c>
      <c r="C556" s="5">
        <f>B503</f>
        <v>65</v>
      </c>
      <c r="D556" s="67">
        <f>Finishing!D4</f>
        <v>0.7995812722283262</v>
      </c>
      <c r="E556" s="67">
        <f>Finishing!E4</f>
        <v>2.9890645053996687</v>
      </c>
      <c r="F556" s="67">
        <f>Finishing!F4</f>
        <v>0.115</v>
      </c>
      <c r="G556" s="67">
        <f>Finishing!G4</f>
        <v>0.85</v>
      </c>
      <c r="H556" s="67">
        <f>Finishing!H4</f>
        <v>0.3</v>
      </c>
      <c r="I556" s="67">
        <f>Finishing!I4</f>
        <v>1</v>
      </c>
      <c r="J556" s="67">
        <f>Finishing!J4</f>
        <v>2E-3</v>
      </c>
      <c r="K556" s="67">
        <f>Finishing!K4</f>
        <v>2</v>
      </c>
      <c r="L556" s="67">
        <f>Finishing!L4</f>
        <v>4</v>
      </c>
      <c r="M556" s="67">
        <f>Finishing!M4</f>
        <v>0</v>
      </c>
      <c r="N556" s="67">
        <f>Finishing!N4</f>
        <v>2</v>
      </c>
      <c r="O556" s="67">
        <f>Finishing!O4</f>
        <v>5</v>
      </c>
      <c r="P556" s="5">
        <f>G556</f>
        <v>0.85</v>
      </c>
      <c r="Q556" s="5">
        <f>H556</f>
        <v>0.3</v>
      </c>
      <c r="R556" s="5">
        <f>I556</f>
        <v>1</v>
      </c>
      <c r="S556" s="5">
        <f>J556*(C557-C556)*$B$529</f>
        <v>0.25013092095394712</v>
      </c>
    </row>
    <row r="557" spans="1:19" x14ac:dyDescent="0.75">
      <c r="A557" s="5">
        <f>A556+10</f>
        <v>58</v>
      </c>
      <c r="B557" s="5">
        <f t="shared" ref="B557:B570" si="118">A557/$B$516*100</f>
        <v>33.142857142857139</v>
      </c>
      <c r="C557" s="5">
        <f>C556+(A557-A556)/D556</f>
        <v>77.506546047697356</v>
      </c>
      <c r="D557" s="67">
        <f>Finishing!D5</f>
        <v>0.80548945537627681</v>
      </c>
      <c r="E557" s="67">
        <f>Finishing!E5</f>
        <v>3.4115902842158219</v>
      </c>
      <c r="F557" s="67">
        <f>Finishing!F5</f>
        <v>0.115</v>
      </c>
      <c r="G557" s="67">
        <f>Finishing!G5</f>
        <v>0</v>
      </c>
      <c r="H557" s="67">
        <f>Finishing!H5</f>
        <v>0.3</v>
      </c>
      <c r="I557" s="67">
        <f>Finishing!I5</f>
        <v>0.4</v>
      </c>
      <c r="J557" s="67">
        <f>Finishing!J5</f>
        <v>2E-3</v>
      </c>
      <c r="K557" s="67">
        <f>Finishing!K5</f>
        <v>2.1</v>
      </c>
      <c r="L557" s="67">
        <f>Finishing!L5</f>
        <v>4</v>
      </c>
      <c r="M557" s="67">
        <f>Finishing!M5</f>
        <v>0</v>
      </c>
      <c r="N557" s="67">
        <f>Finishing!N5</f>
        <v>2</v>
      </c>
      <c r="O557" s="67">
        <f>Finishing!O5</f>
        <v>5</v>
      </c>
      <c r="P557" s="5">
        <f>P556+G557</f>
        <v>0.85</v>
      </c>
      <c r="Q557" s="5">
        <f>H557+Q556</f>
        <v>0.6</v>
      </c>
      <c r="R557" s="5">
        <f>I557+R556</f>
        <v>1.4</v>
      </c>
      <c r="S557" s="5">
        <f>J557*(C558-C557)*$B$529+S556</f>
        <v>0.49842715706863572</v>
      </c>
    </row>
    <row r="558" spans="1:19" x14ac:dyDescent="0.75">
      <c r="A558" s="5">
        <f t="shared" ref="A558:A570" si="119">A557+10</f>
        <v>68</v>
      </c>
      <c r="B558" s="5">
        <f t="shared" si="118"/>
        <v>38.857142857142854</v>
      </c>
      <c r="C558" s="5">
        <f t="shared" ref="C558:C570" si="120">C557+(A558-A557)/D557</f>
        <v>89.921357853431786</v>
      </c>
      <c r="D558" s="67">
        <f>Finishing!D6</f>
        <v>0.77446414795503105</v>
      </c>
      <c r="E558" s="67">
        <f>Finishing!E6</f>
        <v>3.95886627947305</v>
      </c>
      <c r="F558" s="67">
        <f>Finishing!F6</f>
        <v>0.115</v>
      </c>
      <c r="G558" s="67">
        <f>Finishing!G6</f>
        <v>0</v>
      </c>
      <c r="H558" s="67">
        <f>Finishing!H6</f>
        <v>0.2</v>
      </c>
      <c r="I558" s="67">
        <f>Finishing!I6</f>
        <v>0.4</v>
      </c>
      <c r="J558" s="67">
        <f>Finishing!J6</f>
        <v>2E-3</v>
      </c>
      <c r="K558" s="67">
        <f>Finishing!K6</f>
        <v>2.2000000000000002</v>
      </c>
      <c r="L558" s="67">
        <f>Finishing!L6</f>
        <v>4.5</v>
      </c>
      <c r="M558" s="67">
        <f>Finishing!M6</f>
        <v>0</v>
      </c>
      <c r="N558" s="67">
        <f>Finishing!N6</f>
        <v>2</v>
      </c>
      <c r="O558" s="67">
        <f>Finishing!O6</f>
        <v>5</v>
      </c>
      <c r="P558" s="5">
        <f t="shared" ref="P558:P570" si="121">P557+G558</f>
        <v>0.85</v>
      </c>
      <c r="Q558" s="5">
        <f t="shared" ref="Q558:Q570" si="122">H558+Q557</f>
        <v>0.8</v>
      </c>
      <c r="R558" s="5">
        <f t="shared" ref="R558:R570" si="123">I558+R557</f>
        <v>1.7999999999999998</v>
      </c>
      <c r="S558" s="5">
        <f t="shared" ref="S558:S569" si="124">J558*(C559-C558)*$B$529+S557</f>
        <v>0.75667022813667562</v>
      </c>
    </row>
    <row r="559" spans="1:19" x14ac:dyDescent="0.75">
      <c r="A559" s="5">
        <f t="shared" si="119"/>
        <v>78</v>
      </c>
      <c r="B559" s="5">
        <f t="shared" si="118"/>
        <v>44.571428571428569</v>
      </c>
      <c r="C559" s="5">
        <f t="shared" si="120"/>
        <v>102.83351140683378</v>
      </c>
      <c r="D559" s="67">
        <f>Finishing!D7</f>
        <v>0.72062550635879374</v>
      </c>
      <c r="E559" s="67">
        <f>Finishing!E7</f>
        <v>4.6404130446293825</v>
      </c>
      <c r="F559" s="67">
        <f>Finishing!F7</f>
        <v>0.115</v>
      </c>
      <c r="G559" s="67">
        <f>Finishing!G7</f>
        <v>0</v>
      </c>
      <c r="H559" s="67">
        <f>Finishing!H7</f>
        <v>0.2</v>
      </c>
      <c r="I559" s="67">
        <f>Finishing!I7</f>
        <v>0.4</v>
      </c>
      <c r="J559" s="67">
        <f>Finishing!J7</f>
        <v>2E-3</v>
      </c>
      <c r="K559" s="67">
        <f>Finishing!K7</f>
        <v>2.2999999999999998</v>
      </c>
      <c r="L559" s="67">
        <f>Finishing!L7</f>
        <v>4.5</v>
      </c>
      <c r="M559" s="67">
        <f>Finishing!M7</f>
        <v>0</v>
      </c>
      <c r="N559" s="67">
        <f>Finishing!N7</f>
        <v>2</v>
      </c>
      <c r="O559" s="67">
        <f>Finishing!O7</f>
        <v>5</v>
      </c>
      <c r="P559" s="5">
        <f t="shared" si="121"/>
        <v>0.85</v>
      </c>
      <c r="Q559" s="5">
        <f t="shared" si="122"/>
        <v>1</v>
      </c>
      <c r="R559" s="5">
        <f t="shared" si="123"/>
        <v>2.1999999999999997</v>
      </c>
      <c r="S559" s="5">
        <f t="shared" si="124"/>
        <v>1.0342068934853228</v>
      </c>
    </row>
    <row r="560" spans="1:19" x14ac:dyDescent="0.75">
      <c r="A560" s="5">
        <f t="shared" si="119"/>
        <v>88</v>
      </c>
      <c r="B560" s="5">
        <f t="shared" si="118"/>
        <v>50.285714285714292</v>
      </c>
      <c r="C560" s="5">
        <f t="shared" si="120"/>
        <v>116.71034467426614</v>
      </c>
      <c r="D560" s="67">
        <f>Finishing!D8</f>
        <v>0.65537759149894059</v>
      </c>
      <c r="E560" s="67">
        <f>Finishing!E8</f>
        <v>5.4655515331359776</v>
      </c>
      <c r="F560" s="67">
        <f>Finishing!F8</f>
        <v>0.115</v>
      </c>
      <c r="G560" s="67">
        <f>Finishing!G8</f>
        <v>0</v>
      </c>
      <c r="H560" s="67">
        <f>Finishing!H8</f>
        <v>0.15</v>
      </c>
      <c r="I560" s="67">
        <f>Finishing!I8</f>
        <v>0.4</v>
      </c>
      <c r="J560" s="67">
        <f>Finishing!J8</f>
        <v>2E-3</v>
      </c>
      <c r="K560" s="67">
        <f>Finishing!K8</f>
        <v>2.4</v>
      </c>
      <c r="L560" s="67">
        <f>Finishing!L8</f>
        <v>5</v>
      </c>
      <c r="M560" s="67">
        <f>Finishing!M8</f>
        <v>0</v>
      </c>
      <c r="N560" s="67">
        <f>Finishing!N8</f>
        <v>2</v>
      </c>
      <c r="O560" s="67">
        <f>Finishing!O8</f>
        <v>4</v>
      </c>
      <c r="P560" s="5">
        <f t="shared" si="121"/>
        <v>0.85</v>
      </c>
      <c r="Q560" s="5">
        <f t="shared" si="122"/>
        <v>1.1499999999999999</v>
      </c>
      <c r="R560" s="5">
        <f t="shared" si="123"/>
        <v>2.5999999999999996</v>
      </c>
      <c r="S560" s="5">
        <f t="shared" si="124"/>
        <v>1.33937448327516</v>
      </c>
    </row>
    <row r="561" spans="1:19" x14ac:dyDescent="0.75">
      <c r="A561" s="5">
        <f t="shared" si="119"/>
        <v>98</v>
      </c>
      <c r="B561" s="5">
        <f t="shared" si="118"/>
        <v>56.000000000000007</v>
      </c>
      <c r="C561" s="5">
        <f t="shared" si="120"/>
        <v>131.968724163758</v>
      </c>
      <c r="D561" s="67">
        <f>Finishing!D9</f>
        <v>0.58663869534177293</v>
      </c>
      <c r="E561" s="67">
        <f>Finishing!E9</f>
        <v>6.4434890333952319</v>
      </c>
      <c r="F561" s="67">
        <f>Finishing!F9</f>
        <v>0.11</v>
      </c>
      <c r="G561" s="67">
        <f>Finishing!G9</f>
        <v>0</v>
      </c>
      <c r="H561" s="67">
        <f>Finishing!H9</f>
        <v>0.15</v>
      </c>
      <c r="I561" s="67">
        <f>Finishing!I9</f>
        <v>0.4</v>
      </c>
      <c r="J561" s="67">
        <f>Finishing!J9</f>
        <v>2E-3</v>
      </c>
      <c r="K561" s="67">
        <f>Finishing!K9</f>
        <v>2.5</v>
      </c>
      <c r="L561" s="67">
        <f>Finishing!L9</f>
        <v>5</v>
      </c>
      <c r="M561" s="67">
        <f>Finishing!M9</f>
        <v>0</v>
      </c>
      <c r="N561" s="67">
        <f>Finishing!N9</f>
        <v>2</v>
      </c>
      <c r="O561" s="67">
        <f>Finishing!O9</f>
        <v>4</v>
      </c>
      <c r="P561" s="5">
        <f t="shared" si="121"/>
        <v>0.85</v>
      </c>
      <c r="Q561" s="5">
        <f t="shared" si="122"/>
        <v>1.2999999999999998</v>
      </c>
      <c r="R561" s="5">
        <f t="shared" si="123"/>
        <v>2.9999999999999996</v>
      </c>
      <c r="S561" s="5">
        <f t="shared" si="124"/>
        <v>1.6802998289574476</v>
      </c>
    </row>
    <row r="562" spans="1:19" x14ac:dyDescent="0.75">
      <c r="A562" s="5">
        <f t="shared" si="119"/>
        <v>108</v>
      </c>
      <c r="B562" s="5">
        <f t="shared" si="118"/>
        <v>61.714285714285708</v>
      </c>
      <c r="C562" s="5">
        <f t="shared" si="120"/>
        <v>149.01499144787238</v>
      </c>
      <c r="D562" s="67">
        <f>Finishing!D10</f>
        <v>0.51923926932535602</v>
      </c>
      <c r="E562" s="67">
        <f>Finishing!E10</f>
        <v>7.5841721392078352</v>
      </c>
      <c r="F562" s="67">
        <f>Finishing!F10</f>
        <v>0.11</v>
      </c>
      <c r="G562" s="67">
        <f>Finishing!G10</f>
        <v>0.85</v>
      </c>
      <c r="H562" s="67">
        <f>Finishing!H10</f>
        <v>0.15</v>
      </c>
      <c r="I562" s="67">
        <f>Finishing!I10</f>
        <v>0.4</v>
      </c>
      <c r="J562" s="67">
        <f>Finishing!J10</f>
        <v>2E-3</v>
      </c>
      <c r="K562" s="67">
        <f>Finishing!K10</f>
        <v>2.6</v>
      </c>
      <c r="L562" s="67">
        <f>Finishing!L10</f>
        <v>5.5</v>
      </c>
      <c r="M562" s="67">
        <f>Finishing!M10</f>
        <v>0</v>
      </c>
      <c r="N562" s="67">
        <f>Finishing!N10</f>
        <v>2</v>
      </c>
      <c r="O562" s="67">
        <f>Finishing!O10</f>
        <v>4</v>
      </c>
      <c r="P562" s="5">
        <f t="shared" si="121"/>
        <v>1.7</v>
      </c>
      <c r="Q562" s="5">
        <f t="shared" si="122"/>
        <v>1.4499999999999997</v>
      </c>
      <c r="R562" s="5">
        <f t="shared" si="123"/>
        <v>3.3999999999999995</v>
      </c>
      <c r="S562" s="5">
        <f t="shared" si="124"/>
        <v>2.0654787085515478</v>
      </c>
    </row>
    <row r="563" spans="1:19" x14ac:dyDescent="0.75">
      <c r="A563" s="5">
        <f t="shared" si="119"/>
        <v>118</v>
      </c>
      <c r="B563" s="5">
        <f t="shared" si="118"/>
        <v>67.428571428571431</v>
      </c>
      <c r="C563" s="5">
        <f t="shared" si="120"/>
        <v>168.27393542757738</v>
      </c>
      <c r="D563" s="67">
        <f>Finishing!D11</f>
        <v>0.45573186334741117</v>
      </c>
      <c r="E563" s="67">
        <f>Finishing!E11</f>
        <v>8.8999701934557311</v>
      </c>
      <c r="F563" s="67">
        <f>Finishing!F11</f>
        <v>0.11</v>
      </c>
      <c r="G563" s="67">
        <f>Finishing!G11</f>
        <v>0</v>
      </c>
      <c r="H563" s="67">
        <f>Finishing!H11</f>
        <v>0.15</v>
      </c>
      <c r="I563" s="67">
        <f>Finishing!I11</f>
        <v>0.4</v>
      </c>
      <c r="J563" s="67">
        <f>Finishing!J11</f>
        <v>2E-3</v>
      </c>
      <c r="K563" s="67">
        <f>Finishing!K11</f>
        <v>2.7</v>
      </c>
      <c r="L563" s="67">
        <f>Finishing!L11</f>
        <v>5.5</v>
      </c>
      <c r="M563" s="67">
        <f>Finishing!M11</f>
        <v>0</v>
      </c>
      <c r="N563" s="67">
        <f>Finishing!N11</f>
        <v>2</v>
      </c>
      <c r="O563" s="67">
        <f>Finishing!O11</f>
        <v>4</v>
      </c>
      <c r="P563" s="5">
        <f t="shared" si="121"/>
        <v>1.7</v>
      </c>
      <c r="Q563" s="5">
        <f t="shared" si="122"/>
        <v>1.5999999999999996</v>
      </c>
      <c r="R563" s="5">
        <f t="shared" si="123"/>
        <v>3.7999999999999994</v>
      </c>
      <c r="S563" s="5">
        <f t="shared" si="124"/>
        <v>2.5043332545799371</v>
      </c>
    </row>
    <row r="564" spans="1:19" x14ac:dyDescent="0.75">
      <c r="A564" s="5">
        <f t="shared" si="119"/>
        <v>128</v>
      </c>
      <c r="B564" s="5">
        <f t="shared" si="118"/>
        <v>73.142857142857139</v>
      </c>
      <c r="C564" s="5">
        <f t="shared" si="120"/>
        <v>190.21666272899685</v>
      </c>
      <c r="D564" s="67">
        <f>Finishing!D12</f>
        <v>0.39717641305340173</v>
      </c>
      <c r="E564" s="67">
        <f>Finishing!E12</f>
        <v>10.408473071748519</v>
      </c>
      <c r="F564" s="67">
        <f>Finishing!F12</f>
        <v>0.11</v>
      </c>
      <c r="G564" s="67">
        <f>Finishing!G12</f>
        <v>0</v>
      </c>
      <c r="H564" s="67">
        <f>Finishing!H12</f>
        <v>0.15</v>
      </c>
      <c r="I564" s="67">
        <f>Finishing!I12</f>
        <v>0.4</v>
      </c>
      <c r="J564" s="67">
        <f>Finishing!J12</f>
        <v>2E-3</v>
      </c>
      <c r="K564" s="67">
        <f>Finishing!K12</f>
        <v>2.8</v>
      </c>
      <c r="L564" s="67">
        <f>Finishing!L12</f>
        <v>6</v>
      </c>
      <c r="M564" s="67">
        <f>Finishing!M12</f>
        <v>0</v>
      </c>
      <c r="N564" s="67">
        <f>Finishing!N12</f>
        <v>2</v>
      </c>
      <c r="O564" s="67">
        <f>Finishing!O12</f>
        <v>4</v>
      </c>
      <c r="P564" s="5">
        <f t="shared" si="121"/>
        <v>1.7</v>
      </c>
      <c r="Q564" s="5">
        <f t="shared" si="122"/>
        <v>1.7499999999999996</v>
      </c>
      <c r="R564" s="5">
        <f t="shared" si="123"/>
        <v>4.1999999999999993</v>
      </c>
      <c r="S564" s="5">
        <f t="shared" si="124"/>
        <v>3.0078878298943312</v>
      </c>
    </row>
    <row r="565" spans="1:19" x14ac:dyDescent="0.75">
      <c r="A565" s="5">
        <f t="shared" si="119"/>
        <v>138</v>
      </c>
      <c r="B565" s="5">
        <f t="shared" si="118"/>
        <v>78.857142857142861</v>
      </c>
      <c r="C565" s="5">
        <f t="shared" si="120"/>
        <v>215.39439149471656</v>
      </c>
      <c r="D565" s="67">
        <f>Finishing!D13</f>
        <v>0.34374155492040259</v>
      </c>
      <c r="E565" s="67">
        <f>Finishing!E13</f>
        <v>12.137025449151981</v>
      </c>
      <c r="F565" s="67">
        <f>Finishing!F13</f>
        <v>0.11</v>
      </c>
      <c r="G565" s="67">
        <f>Finishing!G13</f>
        <v>0</v>
      </c>
      <c r="H565" s="67">
        <f>Finishing!H13</f>
        <v>0.15</v>
      </c>
      <c r="I565" s="67">
        <f>Finishing!I13</f>
        <v>0.4</v>
      </c>
      <c r="J565" s="67">
        <f>Finishing!J13</f>
        <v>2E-3</v>
      </c>
      <c r="K565" s="67">
        <f>Finishing!K13</f>
        <v>2.9</v>
      </c>
      <c r="L565" s="67">
        <f>Finishing!L13</f>
        <v>6</v>
      </c>
      <c r="M565" s="67">
        <f>Finishing!M13</f>
        <v>0</v>
      </c>
      <c r="N565" s="67">
        <f>Finishing!N13</f>
        <v>2.75</v>
      </c>
      <c r="O565" s="67">
        <f>Finishing!O13</f>
        <v>3</v>
      </c>
      <c r="P565" s="5">
        <f t="shared" si="121"/>
        <v>1.7</v>
      </c>
      <c r="Q565" s="5">
        <f t="shared" si="122"/>
        <v>1.8999999999999995</v>
      </c>
      <c r="R565" s="5">
        <f t="shared" si="123"/>
        <v>4.5999999999999996</v>
      </c>
      <c r="S565" s="5">
        <f t="shared" si="124"/>
        <v>3.5897203058843594</v>
      </c>
    </row>
    <row r="566" spans="1:19" x14ac:dyDescent="0.75">
      <c r="A566" s="5">
        <f t="shared" si="119"/>
        <v>148</v>
      </c>
      <c r="B566" s="5">
        <f t="shared" si="118"/>
        <v>84.571428571428569</v>
      </c>
      <c r="C566" s="5">
        <f t="shared" si="120"/>
        <v>244.48601529421796</v>
      </c>
      <c r="D566" s="67">
        <f>Finishing!D14</f>
        <v>0.29511059472295603</v>
      </c>
      <c r="E566" s="67">
        <f>Finishing!E14</f>
        <v>14.130295809659806</v>
      </c>
      <c r="F566" s="67">
        <f>Finishing!F14</f>
        <v>0.11</v>
      </c>
      <c r="G566" s="67">
        <f>Finishing!G14</f>
        <v>0</v>
      </c>
      <c r="H566" s="67">
        <f>Finishing!H14</f>
        <v>0.15</v>
      </c>
      <c r="I566" s="67">
        <f>Finishing!I14</f>
        <v>0.4</v>
      </c>
      <c r="J566" s="67">
        <f>Finishing!J14</f>
        <v>2E-3</v>
      </c>
      <c r="K566" s="67">
        <f>Finishing!K14</f>
        <v>3</v>
      </c>
      <c r="L566" s="67">
        <f>Finishing!L14</f>
        <v>6.5</v>
      </c>
      <c r="M566" s="67">
        <f>Finishing!M14</f>
        <v>3.5</v>
      </c>
      <c r="N566" s="67">
        <f>Finishing!N14</f>
        <v>2.75</v>
      </c>
      <c r="O566" s="67">
        <f>Finishing!O14</f>
        <v>3</v>
      </c>
      <c r="P566" s="5">
        <f t="shared" si="121"/>
        <v>1.7</v>
      </c>
      <c r="Q566" s="5">
        <f t="shared" si="122"/>
        <v>2.0499999999999994</v>
      </c>
      <c r="R566" s="5">
        <f t="shared" si="123"/>
        <v>5</v>
      </c>
      <c r="S566" s="5">
        <f t="shared" si="124"/>
        <v>4.2674323351246386</v>
      </c>
    </row>
    <row r="567" spans="1:19" x14ac:dyDescent="0.75">
      <c r="A567" s="5">
        <f t="shared" si="119"/>
        <v>158</v>
      </c>
      <c r="B567" s="5">
        <f t="shared" si="118"/>
        <v>90.285714285714278</v>
      </c>
      <c r="C567" s="5">
        <f t="shared" si="120"/>
        <v>278.3716167562319</v>
      </c>
      <c r="D567" s="67">
        <f>Finishing!D15</f>
        <v>0.25073374395891568</v>
      </c>
      <c r="E567" s="67">
        <f>Finishing!E15</f>
        <v>16.463679498505787</v>
      </c>
      <c r="F567" s="67">
        <f>Finishing!F15</f>
        <v>0.11</v>
      </c>
      <c r="G567" s="67">
        <f>Finishing!G15</f>
        <v>0</v>
      </c>
      <c r="H567" s="67">
        <f>Finishing!H15</f>
        <v>0.15</v>
      </c>
      <c r="I567" s="67">
        <f>Finishing!I15</f>
        <v>0.4</v>
      </c>
      <c r="J567" s="67">
        <f>Finishing!J15</f>
        <v>2E-3</v>
      </c>
      <c r="K567" s="67">
        <f>Finishing!K15</f>
        <v>3.1</v>
      </c>
      <c r="L567" s="67">
        <f>Finishing!L15</f>
        <v>6.5</v>
      </c>
      <c r="M567" s="67">
        <f>Finishing!M15</f>
        <v>3.5</v>
      </c>
      <c r="N567" s="67">
        <f>Finishing!N15</f>
        <v>2.75</v>
      </c>
      <c r="O567" s="67">
        <f>Finishing!O15</f>
        <v>3</v>
      </c>
      <c r="P567" s="5">
        <f t="shared" si="121"/>
        <v>1.7</v>
      </c>
      <c r="Q567" s="5">
        <f t="shared" si="122"/>
        <v>2.1999999999999993</v>
      </c>
      <c r="R567" s="5">
        <f t="shared" si="123"/>
        <v>5.4</v>
      </c>
      <c r="S567" s="5">
        <f t="shared" si="124"/>
        <v>5.0650912255561211</v>
      </c>
    </row>
    <row r="568" spans="1:19" x14ac:dyDescent="0.75">
      <c r="A568" s="5">
        <f t="shared" si="119"/>
        <v>168</v>
      </c>
      <c r="B568" s="5">
        <f t="shared" si="118"/>
        <v>96</v>
      </c>
      <c r="C568" s="5">
        <f t="shared" si="120"/>
        <v>318.25456127780603</v>
      </c>
      <c r="D568" s="67">
        <f>Finishing!D16</f>
        <v>0.20997477820430568</v>
      </c>
      <c r="E568" s="67">
        <f>Finishing!E16</f>
        <v>19.268980944288639</v>
      </c>
      <c r="F568" s="67">
        <f>Finishing!F16</f>
        <v>0.11</v>
      </c>
      <c r="G568" s="67">
        <f>Finishing!G16</f>
        <v>0</v>
      </c>
      <c r="H568" s="67">
        <f>Finishing!H16</f>
        <v>0.15</v>
      </c>
      <c r="I568" s="67">
        <f>Finishing!I16</f>
        <v>0.4</v>
      </c>
      <c r="J568" s="67">
        <f>Finishing!J16</f>
        <v>2E-3</v>
      </c>
      <c r="K568" s="67">
        <f>Finishing!K16</f>
        <v>3.2</v>
      </c>
      <c r="L568" s="67">
        <f>Finishing!L16</f>
        <v>6</v>
      </c>
      <c r="M568" s="67">
        <f>Finishing!M16</f>
        <v>3.5</v>
      </c>
      <c r="N568" s="67">
        <f>Finishing!N16</f>
        <v>2.75</v>
      </c>
      <c r="O568" s="67">
        <f>Finishing!O16</f>
        <v>3</v>
      </c>
      <c r="P568" s="5">
        <f t="shared" si="121"/>
        <v>1.7</v>
      </c>
      <c r="Q568" s="5">
        <f t="shared" si="122"/>
        <v>2.3499999999999992</v>
      </c>
      <c r="R568" s="5">
        <f t="shared" si="123"/>
        <v>5.8000000000000007</v>
      </c>
      <c r="S568" s="5">
        <f t="shared" si="124"/>
        <v>6.017586576237715</v>
      </c>
    </row>
    <row r="569" spans="1:19" x14ac:dyDescent="0.75">
      <c r="A569" s="5">
        <f t="shared" si="119"/>
        <v>178</v>
      </c>
      <c r="B569" s="5">
        <f t="shared" si="118"/>
        <v>101.71428571428571</v>
      </c>
      <c r="C569" s="5">
        <f t="shared" si="120"/>
        <v>365.87932881188573</v>
      </c>
      <c r="D569" s="67">
        <f>Finishing!D17</f>
        <v>0</v>
      </c>
      <c r="E569" s="67">
        <f>Finishing!E17</f>
        <v>0</v>
      </c>
      <c r="F569" s="67">
        <f>Finishing!F17</f>
        <v>0.11</v>
      </c>
      <c r="G569" s="67">
        <f>Finishing!G17</f>
        <v>0</v>
      </c>
      <c r="H569" s="67">
        <f>Finishing!H17</f>
        <v>0.15</v>
      </c>
      <c r="I569" s="67">
        <f>Finishing!I17</f>
        <v>0.4</v>
      </c>
      <c r="J569" s="67">
        <f>Finishing!J17</f>
        <v>2E-3</v>
      </c>
      <c r="K569" s="67">
        <f>Finishing!K17</f>
        <v>3.3</v>
      </c>
      <c r="L569" s="67">
        <f>Finishing!L17</f>
        <v>6</v>
      </c>
      <c r="M569" s="67">
        <f>Finishing!M17</f>
        <v>3.5</v>
      </c>
      <c r="N569" s="67">
        <f>Finishing!N17</f>
        <v>2.75</v>
      </c>
      <c r="O569" s="67">
        <f>Finishing!O17</f>
        <v>3</v>
      </c>
      <c r="P569" s="5">
        <f t="shared" si="121"/>
        <v>1.7</v>
      </c>
      <c r="Q569" s="5">
        <f t="shared" si="122"/>
        <v>2.4999999999999991</v>
      </c>
      <c r="R569" s="5">
        <f t="shared" si="123"/>
        <v>6.2000000000000011</v>
      </c>
      <c r="S569" s="5" t="e">
        <f t="shared" si="124"/>
        <v>#DIV/0!</v>
      </c>
    </row>
    <row r="570" spans="1:19" x14ac:dyDescent="0.75">
      <c r="A570" s="5">
        <f t="shared" si="119"/>
        <v>188</v>
      </c>
      <c r="B570" s="5">
        <f t="shared" si="118"/>
        <v>107.42857142857143</v>
      </c>
      <c r="C570" s="5" t="e">
        <f t="shared" si="120"/>
        <v>#DIV/0!</v>
      </c>
      <c r="D570" s="67">
        <f>Finishing!D18</f>
        <v>0</v>
      </c>
      <c r="E570" s="67">
        <f>Finishing!E18</f>
        <v>0</v>
      </c>
      <c r="F570" s="67">
        <f>Finishing!F18</f>
        <v>0.11</v>
      </c>
      <c r="G570" s="67">
        <f>Finishing!G18</f>
        <v>0</v>
      </c>
      <c r="H570" s="67">
        <f>Finishing!H18</f>
        <v>0.15</v>
      </c>
      <c r="I570" s="67">
        <f>Finishing!I18</f>
        <v>0.4</v>
      </c>
      <c r="J570" s="67">
        <f>Finishing!J18</f>
        <v>2E-3</v>
      </c>
      <c r="K570" s="67">
        <f>Finishing!K18</f>
        <v>3.4</v>
      </c>
      <c r="L570" s="67">
        <f>Finishing!L18</f>
        <v>6</v>
      </c>
      <c r="M570" s="67">
        <f>Finishing!M18</f>
        <v>3.5</v>
      </c>
      <c r="N570" s="67">
        <f>Finishing!N18</f>
        <v>2.75</v>
      </c>
      <c r="O570" s="67">
        <f>Finishing!O18</f>
        <v>3</v>
      </c>
      <c r="P570" s="5">
        <f t="shared" si="121"/>
        <v>1.7</v>
      </c>
      <c r="Q570" s="5">
        <f t="shared" si="122"/>
        <v>2.649999999999999</v>
      </c>
      <c r="R570" s="5">
        <f t="shared" si="123"/>
        <v>6.6000000000000014</v>
      </c>
      <c r="S570" s="5" t="e">
        <f>J570*(C570-C569)*$B$529+S569</f>
        <v>#DIV/0!</v>
      </c>
    </row>
    <row r="572" spans="1:19" x14ac:dyDescent="0.75">
      <c r="A572" s="1" t="s">
        <v>89</v>
      </c>
      <c r="B572" s="3"/>
      <c r="C572" s="3"/>
      <c r="D572" s="3"/>
      <c r="E572" s="3"/>
      <c r="F572" s="4"/>
      <c r="G572" s="3"/>
      <c r="H572" s="5"/>
      <c r="I572" s="3"/>
      <c r="J572" s="3" t="s">
        <v>128</v>
      </c>
      <c r="K572" s="3"/>
      <c r="L572" s="3"/>
      <c r="M572" s="3"/>
      <c r="N572" s="3"/>
      <c r="O572" s="5"/>
      <c r="P572" s="3"/>
      <c r="Q572" s="5"/>
      <c r="R572" s="5"/>
      <c r="S572" s="5"/>
    </row>
    <row r="573" spans="1:19" x14ac:dyDescent="0.75">
      <c r="A573" s="3" t="s">
        <v>0</v>
      </c>
      <c r="B573" s="3" t="s">
        <v>1</v>
      </c>
      <c r="C573" s="3" t="s">
        <v>90</v>
      </c>
      <c r="D573" s="3" t="s">
        <v>90</v>
      </c>
      <c r="E573" s="3" t="s">
        <v>91</v>
      </c>
      <c r="F573" s="3" t="s">
        <v>91</v>
      </c>
      <c r="G573" s="3" t="s">
        <v>92</v>
      </c>
      <c r="H573" s="3" t="s">
        <v>4</v>
      </c>
      <c r="I573" s="4" t="s">
        <v>5</v>
      </c>
      <c r="J573" s="3" t="s">
        <v>5</v>
      </c>
      <c r="K573" s="5" t="s">
        <v>129</v>
      </c>
      <c r="L573" s="3" t="s">
        <v>20</v>
      </c>
      <c r="M573" s="3" t="s">
        <v>122</v>
      </c>
      <c r="N573" s="3" t="s">
        <v>94</v>
      </c>
      <c r="O573" s="3" t="s">
        <v>95</v>
      </c>
      <c r="P573" s="5" t="s">
        <v>115</v>
      </c>
      <c r="Q573" s="5" t="s">
        <v>116</v>
      </c>
      <c r="R573" s="5" t="s">
        <v>113</v>
      </c>
      <c r="S573" s="5"/>
    </row>
    <row r="574" spans="1:19" x14ac:dyDescent="0.75">
      <c r="A574" s="3" t="s">
        <v>24</v>
      </c>
      <c r="B574" s="3" t="s">
        <v>11</v>
      </c>
      <c r="C574" s="3" t="s">
        <v>76</v>
      </c>
      <c r="D574" s="3" t="s">
        <v>174</v>
      </c>
      <c r="E574" s="3" t="s">
        <v>76</v>
      </c>
      <c r="F574" s="3" t="s">
        <v>93</v>
      </c>
      <c r="G574" s="3" t="s">
        <v>76</v>
      </c>
      <c r="H574" s="3" t="s">
        <v>73</v>
      </c>
      <c r="I574" s="4" t="s">
        <v>74</v>
      </c>
      <c r="J574" s="3" t="s">
        <v>75</v>
      </c>
      <c r="K574" s="5" t="s">
        <v>76</v>
      </c>
      <c r="L574" s="3" t="s">
        <v>76</v>
      </c>
      <c r="M574" s="3" t="s">
        <v>76</v>
      </c>
      <c r="N574" s="3" t="s">
        <v>120</v>
      </c>
      <c r="O574" s="3" t="s">
        <v>121</v>
      </c>
      <c r="P574" s="3" t="s">
        <v>117</v>
      </c>
      <c r="Q574" s="3" t="s">
        <v>117</v>
      </c>
      <c r="R574" s="3" t="s">
        <v>117</v>
      </c>
      <c r="S574" s="5"/>
    </row>
    <row r="575" spans="1:19" x14ac:dyDescent="0.75">
      <c r="A575" s="11">
        <f>B502</f>
        <v>48</v>
      </c>
      <c r="B575" s="15">
        <f>Comparisons!I31</f>
        <v>2.4</v>
      </c>
      <c r="C575" s="48">
        <f t="shared" ref="C575:C589" si="125">G575-E575-F575</f>
        <v>20.693848396157637</v>
      </c>
      <c r="D575" s="48">
        <f>C575*$B$526*(1-Q556/100)</f>
        <v>31.811168119880836</v>
      </c>
      <c r="E575" s="49">
        <f t="shared" ref="E575:E589" si="126">K575+M575+P556+R556+S556+K556+L556+M556+(N575+O575+P575+Q575)</f>
        <v>105.47077123681372</v>
      </c>
      <c r="F575" s="49">
        <f t="shared" ref="F575:F589" si="127">(K575+P556+R556+S556+M556+(N575+O575+P575+Q575))*(Q556/100)</f>
        <v>0.29740431371044118</v>
      </c>
      <c r="G575" s="49">
        <f t="shared" ref="G575:G589" si="128">L575+N556+R575</f>
        <v>126.4620239466818</v>
      </c>
      <c r="H575" s="5">
        <f t="shared" ref="H575:H589" si="129">D556*E556</f>
        <v>2.3899999999999997</v>
      </c>
      <c r="I575" s="5">
        <f t="shared" ref="I575:I589" si="130">H575*F556</f>
        <v>0.27484999999999998</v>
      </c>
      <c r="J575" s="5">
        <f t="shared" ref="J575:J588" si="131">I575*(C557-C556)</f>
        <v>3.437424181209618</v>
      </c>
      <c r="K575" s="5">
        <f>$B$212+J575</f>
        <v>3.437424181209618</v>
      </c>
      <c r="L575" s="5">
        <f>A575*(1-O556/100)*B575</f>
        <v>109.43999999999998</v>
      </c>
      <c r="M575" s="5">
        <f t="shared" ref="M575:M589" si="132">0.007*A575</f>
        <v>0.33600000000000002</v>
      </c>
      <c r="N575" s="5">
        <f>$F$526/(1-$B$540/100)</f>
        <v>61.275973346462017</v>
      </c>
      <c r="O575" s="5">
        <f>$B$537/(1-$B$540/100)</f>
        <v>25.912275973552475</v>
      </c>
      <c r="P575" s="5">
        <f>$B$545/(1-$B$540/100)</f>
        <v>4.6442609322827177</v>
      </c>
      <c r="Q575" s="5">
        <f>$B$548/(1-$B$540/100)</f>
        <v>1.7647058823529411</v>
      </c>
      <c r="R575" s="5">
        <f>$B$551/(1-$B$540/100)</f>
        <v>15.022023946681815</v>
      </c>
      <c r="S575" s="5"/>
    </row>
    <row r="576" spans="1:19" x14ac:dyDescent="0.75">
      <c r="A576" s="11">
        <f>A575+10</f>
        <v>58</v>
      </c>
      <c r="B576" s="15">
        <f>Comparisons!I32</f>
        <v>2.2999999999999998</v>
      </c>
      <c r="C576" s="48">
        <f t="shared" si="125"/>
        <v>32.917389269106529</v>
      </c>
      <c r="D576" s="48">
        <f t="shared" ref="D576:D589" si="133">C576*$B$526*(1-Q557/100)</f>
        <v>50.449278920267211</v>
      </c>
      <c r="E576" s="49">
        <f t="shared" si="126"/>
        <v>110.2123962997766</v>
      </c>
      <c r="F576" s="49">
        <f t="shared" si="127"/>
        <v>0.62223837779865965</v>
      </c>
      <c r="G576" s="49">
        <f t="shared" si="128"/>
        <v>143.75202394668179</v>
      </c>
      <c r="H576" s="5">
        <f t="shared" si="129"/>
        <v>2.7479999999999998</v>
      </c>
      <c r="I576" s="5">
        <f t="shared" si="130"/>
        <v>0.31601999999999997</v>
      </c>
      <c r="J576" s="5">
        <f t="shared" si="131"/>
        <v>3.9233288268481945</v>
      </c>
      <c r="K576" s="5">
        <f>J576+K575</f>
        <v>7.360753008057813</v>
      </c>
      <c r="L576" s="5">
        <f>A576*(1-Finishing!O5/100)*B576</f>
        <v>126.72999999999998</v>
      </c>
      <c r="M576" s="5">
        <f t="shared" si="132"/>
        <v>0.40600000000000003</v>
      </c>
      <c r="N576" s="5">
        <f t="shared" ref="N576:N589" si="134">$F$526/(1-$B$540/100)</f>
        <v>61.275973346462017</v>
      </c>
      <c r="O576" s="5">
        <f t="shared" ref="O576:O589" si="135">$B$537/(1-$B$540/100)</f>
        <v>25.912275973552475</v>
      </c>
      <c r="P576" s="5">
        <f t="shared" ref="P576:P589" si="136">$B$545/(1-$B$540/100)</f>
        <v>4.6442609322827177</v>
      </c>
      <c r="Q576" s="5">
        <f t="shared" ref="Q576:Q589" si="137">$B$548/(1-$B$540/100)</f>
        <v>1.7647058823529411</v>
      </c>
      <c r="R576" s="5">
        <f t="shared" ref="R576:R589" si="138">$B$551/(1-$B$540/100)</f>
        <v>15.022023946681815</v>
      </c>
      <c r="S576" s="5"/>
    </row>
    <row r="577" spans="1:19" x14ac:dyDescent="0.75">
      <c r="A577" s="11">
        <f t="shared" ref="A577:A589" si="139">A576+10</f>
        <v>68</v>
      </c>
      <c r="B577" s="15">
        <f>Comparisons!I33</f>
        <v>2.25</v>
      </c>
      <c r="C577" s="48">
        <f t="shared" si="125"/>
        <v>45.407349669705269</v>
      </c>
      <c r="D577" s="48">
        <f t="shared" si="133"/>
        <v>69.451402679074505</v>
      </c>
      <c r="E577" s="49">
        <f t="shared" si="126"/>
        <v>116.09333559223865</v>
      </c>
      <c r="F577" s="49">
        <f t="shared" si="127"/>
        <v>0.87133868473790921</v>
      </c>
      <c r="G577" s="49">
        <f t="shared" si="128"/>
        <v>162.37202394668182</v>
      </c>
      <c r="H577" s="5">
        <f t="shared" si="129"/>
        <v>3.0659999999999994</v>
      </c>
      <c r="I577" s="5">
        <f t="shared" si="130"/>
        <v>0.35258999999999996</v>
      </c>
      <c r="J577" s="5">
        <f t="shared" si="131"/>
        <v>4.5526962213940081</v>
      </c>
      <c r="K577" s="5">
        <f t="shared" ref="K577:K589" si="140">J577+K576</f>
        <v>11.913449229451821</v>
      </c>
      <c r="L577" s="5">
        <f>A577*(1-Finishing!O6/100)*B577</f>
        <v>145.35</v>
      </c>
      <c r="M577" s="5">
        <f t="shared" si="132"/>
        <v>0.47600000000000003</v>
      </c>
      <c r="N577" s="5">
        <f t="shared" si="134"/>
        <v>61.275973346462017</v>
      </c>
      <c r="O577" s="5">
        <f t="shared" si="135"/>
        <v>25.912275973552475</v>
      </c>
      <c r="P577" s="5">
        <f t="shared" si="136"/>
        <v>4.6442609322827177</v>
      </c>
      <c r="Q577" s="5">
        <f t="shared" si="137"/>
        <v>1.7647058823529411</v>
      </c>
      <c r="R577" s="5">
        <f t="shared" si="138"/>
        <v>15.022023946681815</v>
      </c>
      <c r="S577" s="5"/>
    </row>
    <row r="578" spans="1:19" x14ac:dyDescent="0.75">
      <c r="A578" s="11">
        <f t="shared" si="139"/>
        <v>78</v>
      </c>
      <c r="B578" s="15">
        <f>Comparisons!I34</f>
        <v>2.15</v>
      </c>
      <c r="C578" s="48">
        <f t="shared" si="125"/>
        <v>52.91036321518159</v>
      </c>
      <c r="D578" s="48">
        <f t="shared" si="133"/>
        <v>80.764244136880876</v>
      </c>
      <c r="E578" s="49">
        <f t="shared" si="126"/>
        <v>122.27734725891109</v>
      </c>
      <c r="F578" s="49">
        <f t="shared" si="127"/>
        <v>1.149313472589111</v>
      </c>
      <c r="G578" s="49">
        <f t="shared" si="128"/>
        <v>176.3370239466818</v>
      </c>
      <c r="H578" s="5">
        <f t="shared" si="129"/>
        <v>3.3440000000000007</v>
      </c>
      <c r="I578" s="5">
        <f t="shared" si="130"/>
        <v>0.38456000000000012</v>
      </c>
      <c r="J578" s="5">
        <f t="shared" si="131"/>
        <v>5.33647500132379</v>
      </c>
      <c r="K578" s="5">
        <f t="shared" si="140"/>
        <v>17.249924230775612</v>
      </c>
      <c r="L578" s="5">
        <f>A578*(1-Finishing!O7/100)*B578</f>
        <v>159.31499999999997</v>
      </c>
      <c r="M578" s="5">
        <f t="shared" si="132"/>
        <v>0.54600000000000004</v>
      </c>
      <c r="N578" s="5">
        <f t="shared" si="134"/>
        <v>61.275973346462017</v>
      </c>
      <c r="O578" s="5">
        <f t="shared" si="135"/>
        <v>25.912275973552475</v>
      </c>
      <c r="P578" s="5">
        <f t="shared" si="136"/>
        <v>4.6442609322827177</v>
      </c>
      <c r="Q578" s="5">
        <f t="shared" si="137"/>
        <v>1.7647058823529411</v>
      </c>
      <c r="R578" s="5">
        <f t="shared" si="138"/>
        <v>15.022023946681815</v>
      </c>
      <c r="S578" s="5"/>
    </row>
    <row r="579" spans="1:19" x14ac:dyDescent="0.75">
      <c r="A579" s="11">
        <f t="shared" si="139"/>
        <v>88</v>
      </c>
      <c r="B579" s="15">
        <f>Comparisons!I35</f>
        <v>2.0499999999999998</v>
      </c>
      <c r="C579" s="48">
        <f t="shared" si="125"/>
        <v>58.866022995088684</v>
      </c>
      <c r="D579" s="48">
        <f t="shared" si="133"/>
        <v>89.719029031537417</v>
      </c>
      <c r="E579" s="49">
        <f t="shared" si="126"/>
        <v>129.93789911180733</v>
      </c>
      <c r="F579" s="49">
        <f t="shared" si="127"/>
        <v>1.4021018397857841</v>
      </c>
      <c r="G579" s="49">
        <f t="shared" si="128"/>
        <v>190.2060239466818</v>
      </c>
      <c r="H579" s="5">
        <f t="shared" si="129"/>
        <v>3.5819999999999994</v>
      </c>
      <c r="I579" s="5">
        <f t="shared" si="130"/>
        <v>0.41192999999999996</v>
      </c>
      <c r="J579" s="5">
        <f t="shared" si="131"/>
        <v>6.2853842631063808</v>
      </c>
      <c r="K579" s="5">
        <f t="shared" si="140"/>
        <v>23.535308493881992</v>
      </c>
      <c r="L579" s="5">
        <f>A579*(1-Finishing!O8/100)*B579</f>
        <v>173.18399999999997</v>
      </c>
      <c r="M579" s="5">
        <f t="shared" si="132"/>
        <v>0.61599999999999999</v>
      </c>
      <c r="N579" s="5">
        <f t="shared" si="134"/>
        <v>61.275973346462017</v>
      </c>
      <c r="O579" s="5">
        <f t="shared" si="135"/>
        <v>25.912275973552475</v>
      </c>
      <c r="P579" s="5">
        <f t="shared" si="136"/>
        <v>4.6442609322827177</v>
      </c>
      <c r="Q579" s="5">
        <f t="shared" si="137"/>
        <v>1.7647058823529411</v>
      </c>
      <c r="R579" s="5">
        <f t="shared" si="138"/>
        <v>15.022023946681815</v>
      </c>
      <c r="S579" s="5"/>
    </row>
    <row r="580" spans="1:19" x14ac:dyDescent="0.75">
      <c r="A580" s="11">
        <f t="shared" si="139"/>
        <v>98</v>
      </c>
      <c r="B580" s="15">
        <f>Comparisons!I36</f>
        <v>1.95</v>
      </c>
      <c r="C580" s="48">
        <f t="shared" si="125"/>
        <v>60.854602941332544</v>
      </c>
      <c r="D580" s="48">
        <f t="shared" si="133"/>
        <v>92.609125082281153</v>
      </c>
      <c r="E580" s="49">
        <f t="shared" si="126"/>
        <v>137.93666239422436</v>
      </c>
      <c r="F580" s="49">
        <f t="shared" si="127"/>
        <v>1.6867586111249162</v>
      </c>
      <c r="G580" s="49">
        <f t="shared" si="128"/>
        <v>200.47802394668182</v>
      </c>
      <c r="H580" s="5">
        <f t="shared" si="129"/>
        <v>3.7800000000000002</v>
      </c>
      <c r="I580" s="5">
        <f t="shared" si="130"/>
        <v>0.4158</v>
      </c>
      <c r="J580" s="5">
        <f t="shared" si="131"/>
        <v>7.0878379367347586</v>
      </c>
      <c r="K580" s="5">
        <f t="shared" si="140"/>
        <v>30.62314643061675</v>
      </c>
      <c r="L580" s="5">
        <f>A580*(1-Finishing!O9/100)*B580</f>
        <v>183.45599999999999</v>
      </c>
      <c r="M580" s="5">
        <f t="shared" si="132"/>
        <v>0.68600000000000005</v>
      </c>
      <c r="N580" s="5">
        <f t="shared" si="134"/>
        <v>61.275973346462017</v>
      </c>
      <c r="O580" s="5">
        <f t="shared" si="135"/>
        <v>25.912275973552475</v>
      </c>
      <c r="P580" s="5">
        <f t="shared" si="136"/>
        <v>4.6442609322827177</v>
      </c>
      <c r="Q580" s="5">
        <f t="shared" si="137"/>
        <v>1.7647058823529411</v>
      </c>
      <c r="R580" s="5">
        <f t="shared" si="138"/>
        <v>15.022023946681815</v>
      </c>
      <c r="S580" s="5"/>
    </row>
    <row r="581" spans="1:19" x14ac:dyDescent="0.75">
      <c r="A581" s="11">
        <f t="shared" si="139"/>
        <v>108</v>
      </c>
      <c r="B581" s="15">
        <f>Comparisons!I37</f>
        <v>1.85</v>
      </c>
      <c r="C581" s="48">
        <f t="shared" si="125"/>
        <v>58.219531075644021</v>
      </c>
      <c r="D581" s="48">
        <f t="shared" si="133"/>
        <v>88.464398147463413</v>
      </c>
      <c r="E581" s="49">
        <f t="shared" si="126"/>
        <v>148.58443062694707</v>
      </c>
      <c r="F581" s="49">
        <f t="shared" si="127"/>
        <v>2.0260622440907321</v>
      </c>
      <c r="G581" s="49">
        <f t="shared" si="128"/>
        <v>208.83002394668182</v>
      </c>
      <c r="H581" s="5">
        <f t="shared" si="129"/>
        <v>3.9379999999999988</v>
      </c>
      <c r="I581" s="5">
        <f t="shared" si="130"/>
        <v>0.4331799999999999</v>
      </c>
      <c r="J581" s="5">
        <f t="shared" si="131"/>
        <v>8.3425893531286146</v>
      </c>
      <c r="K581" s="5">
        <f t="shared" si="140"/>
        <v>38.965735783745366</v>
      </c>
      <c r="L581" s="5">
        <f>A581*(1-Finishing!O10/100)*B581</f>
        <v>191.80799999999999</v>
      </c>
      <c r="M581" s="5">
        <f t="shared" si="132"/>
        <v>0.75600000000000001</v>
      </c>
      <c r="N581" s="5">
        <f t="shared" si="134"/>
        <v>61.275973346462017</v>
      </c>
      <c r="O581" s="5">
        <f t="shared" si="135"/>
        <v>25.912275973552475</v>
      </c>
      <c r="P581" s="5">
        <f t="shared" si="136"/>
        <v>4.6442609322827177</v>
      </c>
      <c r="Q581" s="5">
        <f t="shared" si="137"/>
        <v>1.7647058823529411</v>
      </c>
      <c r="R581" s="5">
        <f t="shared" si="138"/>
        <v>15.022023946681815</v>
      </c>
      <c r="S581" s="5"/>
    </row>
    <row r="582" spans="1:19" x14ac:dyDescent="0.75">
      <c r="A582" s="11">
        <f t="shared" si="139"/>
        <v>118</v>
      </c>
      <c r="B582" s="15">
        <f>Comparisons!I38</f>
        <v>1.68</v>
      </c>
      <c r="C582" s="48">
        <f t="shared" si="125"/>
        <v>45.543455522732629</v>
      </c>
      <c r="D582" s="48">
        <f t="shared" si="133"/>
        <v>69.097808363450582</v>
      </c>
      <c r="E582" s="49">
        <f t="shared" si="126"/>
        <v>159.38325238577676</v>
      </c>
      <c r="F582" s="49">
        <f t="shared" si="127"/>
        <v>2.4057160381724279</v>
      </c>
      <c r="G582" s="49">
        <f t="shared" si="128"/>
        <v>207.33242394668181</v>
      </c>
      <c r="H582" s="5">
        <f t="shared" si="129"/>
        <v>4.056</v>
      </c>
      <c r="I582" s="5">
        <f t="shared" si="130"/>
        <v>0.44616</v>
      </c>
      <c r="J582" s="5">
        <f t="shared" si="131"/>
        <v>9.7899672128013098</v>
      </c>
      <c r="K582" s="5">
        <f t="shared" si="140"/>
        <v>48.755702996546674</v>
      </c>
      <c r="L582" s="5">
        <f>A582*(1-Finishing!O11/100)*B582</f>
        <v>190.31039999999999</v>
      </c>
      <c r="M582" s="5">
        <f t="shared" si="132"/>
        <v>0.82600000000000007</v>
      </c>
      <c r="N582" s="5">
        <f t="shared" si="134"/>
        <v>61.275973346462017</v>
      </c>
      <c r="O582" s="5">
        <f t="shared" si="135"/>
        <v>25.912275973552475</v>
      </c>
      <c r="P582" s="5">
        <f t="shared" si="136"/>
        <v>4.6442609322827177</v>
      </c>
      <c r="Q582" s="5">
        <f t="shared" si="137"/>
        <v>1.7647058823529411</v>
      </c>
      <c r="R582" s="5">
        <f t="shared" si="138"/>
        <v>15.022023946681815</v>
      </c>
      <c r="S582" s="5"/>
    </row>
    <row r="583" spans="1:19" x14ac:dyDescent="0.75">
      <c r="A583" s="11">
        <f t="shared" si="139"/>
        <v>128</v>
      </c>
      <c r="B583" s="15">
        <f>Comparisons!I39</f>
        <v>1.65</v>
      </c>
      <c r="C583" s="48">
        <f t="shared" si="125"/>
        <v>44.520469378217022</v>
      </c>
      <c r="D583" s="48">
        <f t="shared" si="133"/>
        <v>67.442783928037272</v>
      </c>
      <c r="E583" s="49">
        <f t="shared" si="126"/>
        <v>172.40612734001454</v>
      </c>
      <c r="F583" s="49">
        <f t="shared" si="127"/>
        <v>2.8474272284502535</v>
      </c>
      <c r="G583" s="49">
        <f t="shared" si="128"/>
        <v>219.77402394668181</v>
      </c>
      <c r="H583" s="5">
        <f t="shared" si="129"/>
        <v>4.1339999999999986</v>
      </c>
      <c r="I583" s="5">
        <f t="shared" si="130"/>
        <v>0.45473999999999987</v>
      </c>
      <c r="J583" s="5">
        <f t="shared" si="131"/>
        <v>11.449320378923376</v>
      </c>
      <c r="K583" s="5">
        <f t="shared" si="140"/>
        <v>60.205023375470049</v>
      </c>
      <c r="L583" s="5">
        <f>A583*(1-Finishing!O12/100)*B583</f>
        <v>202.75199999999998</v>
      </c>
      <c r="M583" s="5">
        <f t="shared" si="132"/>
        <v>0.89600000000000002</v>
      </c>
      <c r="N583" s="5">
        <f t="shared" si="134"/>
        <v>61.275973346462017</v>
      </c>
      <c r="O583" s="5">
        <f t="shared" si="135"/>
        <v>25.912275973552475</v>
      </c>
      <c r="P583" s="5">
        <f t="shared" si="136"/>
        <v>4.6442609322827177</v>
      </c>
      <c r="Q583" s="5">
        <f t="shared" si="137"/>
        <v>1.7647058823529411</v>
      </c>
      <c r="R583" s="5">
        <f t="shared" si="138"/>
        <v>15.022023946681815</v>
      </c>
      <c r="S583" s="5"/>
    </row>
    <row r="584" spans="1:19" x14ac:dyDescent="0.75">
      <c r="A584" s="11">
        <f t="shared" si="139"/>
        <v>138</v>
      </c>
      <c r="B584" s="15">
        <f>Comparisons!I40</f>
        <v>1.6</v>
      </c>
      <c r="C584" s="48">
        <f t="shared" si="125"/>
        <v>41.675525068218711</v>
      </c>
      <c r="D584" s="48">
        <f t="shared" si="133"/>
        <v>63.036672926253132</v>
      </c>
      <c r="E584" s="49">
        <f t="shared" si="126"/>
        <v>186.90868781007174</v>
      </c>
      <c r="F584" s="49">
        <f t="shared" si="127"/>
        <v>3.3638110683913625</v>
      </c>
      <c r="G584" s="49">
        <f t="shared" si="128"/>
        <v>231.94802394668181</v>
      </c>
      <c r="H584" s="5">
        <f t="shared" si="129"/>
        <v>4.1719999999999997</v>
      </c>
      <c r="I584" s="5">
        <f t="shared" si="130"/>
        <v>0.45891999999999999</v>
      </c>
      <c r="J584" s="5">
        <f t="shared" si="131"/>
        <v>13.350727994067185</v>
      </c>
      <c r="K584" s="5">
        <f t="shared" si="140"/>
        <v>73.555751369537234</v>
      </c>
      <c r="L584" s="5">
        <f>A584*(1-Finishing!O13/100)*B584</f>
        <v>214.17599999999999</v>
      </c>
      <c r="M584" s="5">
        <f t="shared" si="132"/>
        <v>0.96599999999999997</v>
      </c>
      <c r="N584" s="5">
        <f t="shared" si="134"/>
        <v>61.275973346462017</v>
      </c>
      <c r="O584" s="5">
        <f t="shared" si="135"/>
        <v>25.912275973552475</v>
      </c>
      <c r="P584" s="5">
        <f t="shared" si="136"/>
        <v>4.6442609322827177</v>
      </c>
      <c r="Q584" s="5">
        <f t="shared" si="137"/>
        <v>1.7647058823529411</v>
      </c>
      <c r="R584" s="5">
        <f t="shared" si="138"/>
        <v>15.022023946681815</v>
      </c>
      <c r="S584" s="5"/>
    </row>
    <row r="585" spans="1:19" x14ac:dyDescent="0.75">
      <c r="A585" s="11">
        <f t="shared" si="139"/>
        <v>148</v>
      </c>
      <c r="B585" s="15">
        <f>Comparisons!I41</f>
        <v>1.55</v>
      </c>
      <c r="C585" s="48">
        <f t="shared" si="125"/>
        <v>28.548442349530276</v>
      </c>
      <c r="D585" s="48">
        <f t="shared" si="133"/>
        <v>43.115165072129749</v>
      </c>
      <c r="E585" s="49">
        <f t="shared" si="126"/>
        <v>207.69972522993783</v>
      </c>
      <c r="F585" s="49">
        <f t="shared" si="127"/>
        <v>4.0418563672137244</v>
      </c>
      <c r="G585" s="49">
        <f t="shared" si="128"/>
        <v>240.29002394668183</v>
      </c>
      <c r="H585" s="5">
        <f t="shared" si="129"/>
        <v>4.169999999999999</v>
      </c>
      <c r="I585" s="5">
        <f t="shared" si="130"/>
        <v>0.45869999999999989</v>
      </c>
      <c r="J585" s="5">
        <f t="shared" si="131"/>
        <v>15.543325390625789</v>
      </c>
      <c r="K585" s="5">
        <f t="shared" si="140"/>
        <v>89.09907676016303</v>
      </c>
      <c r="L585" s="5">
        <f>A585*(1-Finishing!O14/100)*B585</f>
        <v>222.518</v>
      </c>
      <c r="M585" s="5">
        <f t="shared" si="132"/>
        <v>1.036</v>
      </c>
      <c r="N585" s="5">
        <f t="shared" si="134"/>
        <v>61.275973346462017</v>
      </c>
      <c r="O585" s="5">
        <f t="shared" si="135"/>
        <v>25.912275973552475</v>
      </c>
      <c r="P585" s="5">
        <f t="shared" si="136"/>
        <v>4.6442609322827177</v>
      </c>
      <c r="Q585" s="5">
        <f t="shared" si="137"/>
        <v>1.7647058823529411</v>
      </c>
      <c r="R585" s="5">
        <f t="shared" si="138"/>
        <v>15.022023946681815</v>
      </c>
      <c r="S585" s="5"/>
    </row>
    <row r="586" spans="1:19" x14ac:dyDescent="0.75">
      <c r="A586" s="11">
        <f t="shared" si="139"/>
        <v>158</v>
      </c>
      <c r="B586" s="15">
        <f>Comparisons!I42</f>
        <v>1.4</v>
      </c>
      <c r="C586" s="48">
        <f t="shared" si="125"/>
        <v>0.39622088344416273</v>
      </c>
      <c r="D586" s="48">
        <f t="shared" si="133"/>
        <v>0.59747455193262911</v>
      </c>
      <c r="E586" s="49">
        <f t="shared" si="126"/>
        <v>227.17743156872567</v>
      </c>
      <c r="F586" s="49">
        <f t="shared" si="127"/>
        <v>4.7623714945119628</v>
      </c>
      <c r="G586" s="49">
        <f t="shared" si="128"/>
        <v>232.33602394668179</v>
      </c>
      <c r="H586" s="5">
        <f t="shared" si="129"/>
        <v>4.1279999999999992</v>
      </c>
      <c r="I586" s="5">
        <f t="shared" si="130"/>
        <v>0.45407999999999993</v>
      </c>
      <c r="J586" s="5">
        <f t="shared" si="131"/>
        <v>18.110047448356379</v>
      </c>
      <c r="K586" s="5">
        <f t="shared" si="140"/>
        <v>107.20912420851941</v>
      </c>
      <c r="L586" s="5">
        <f>A586*(1-Finishing!O15/100)*B586</f>
        <v>214.56399999999996</v>
      </c>
      <c r="M586" s="5">
        <f t="shared" si="132"/>
        <v>1.1060000000000001</v>
      </c>
      <c r="N586" s="5">
        <f t="shared" si="134"/>
        <v>61.275973346462017</v>
      </c>
      <c r="O586" s="5">
        <f t="shared" si="135"/>
        <v>25.912275973552475</v>
      </c>
      <c r="P586" s="5">
        <f t="shared" si="136"/>
        <v>4.6442609322827177</v>
      </c>
      <c r="Q586" s="5">
        <f t="shared" si="137"/>
        <v>1.7647058823529411</v>
      </c>
      <c r="R586" s="5">
        <f t="shared" si="138"/>
        <v>15.022023946681815</v>
      </c>
      <c r="S586" s="5"/>
    </row>
    <row r="587" spans="1:19" x14ac:dyDescent="0.75">
      <c r="A587" s="11">
        <f t="shared" si="139"/>
        <v>168</v>
      </c>
      <c r="B587" s="15">
        <f>Comparisons!I43</f>
        <v>1.3</v>
      </c>
      <c r="C587" s="48">
        <f t="shared" si="125"/>
        <v>-25.392747451458845</v>
      </c>
      <c r="D587" s="48">
        <f t="shared" si="133"/>
        <v>-38.231834402936038</v>
      </c>
      <c r="E587" s="49">
        <f t="shared" si="126"/>
        <v>249.39580595812475</v>
      </c>
      <c r="F587" s="49">
        <f t="shared" si="127"/>
        <v>5.6169654400159308</v>
      </c>
      <c r="G587" s="49">
        <f t="shared" si="128"/>
        <v>229.62002394668184</v>
      </c>
      <c r="H587" s="5">
        <f t="shared" si="129"/>
        <v>4.0459999999999994</v>
      </c>
      <c r="I587" s="5">
        <f t="shared" si="130"/>
        <v>0.44505999999999996</v>
      </c>
      <c r="J587" s="5">
        <f t="shared" si="131"/>
        <v>21.195879038717507</v>
      </c>
      <c r="K587" s="5">
        <f t="shared" si="140"/>
        <v>128.40500324723692</v>
      </c>
      <c r="L587" s="5">
        <f>A587*(1-Finishing!O16/100)*B587</f>
        <v>211.84800000000001</v>
      </c>
      <c r="M587" s="5">
        <f t="shared" si="132"/>
        <v>1.1759999999999999</v>
      </c>
      <c r="N587" s="5">
        <f t="shared" si="134"/>
        <v>61.275973346462017</v>
      </c>
      <c r="O587" s="5">
        <f t="shared" si="135"/>
        <v>25.912275973552475</v>
      </c>
      <c r="P587" s="5">
        <f t="shared" si="136"/>
        <v>4.6442609322827177</v>
      </c>
      <c r="Q587" s="5">
        <f t="shared" si="137"/>
        <v>1.7647058823529411</v>
      </c>
      <c r="R587" s="5">
        <f t="shared" si="138"/>
        <v>15.022023946681815</v>
      </c>
      <c r="S587" s="5"/>
    </row>
    <row r="588" spans="1:19" x14ac:dyDescent="0.75">
      <c r="A588" s="11">
        <f t="shared" si="139"/>
        <v>178</v>
      </c>
      <c r="B588" s="15">
        <f>Comparisons!I44</f>
        <v>0</v>
      </c>
      <c r="C588" s="48" t="e">
        <f t="shared" si="125"/>
        <v>#DIV/0!</v>
      </c>
      <c r="D588" s="48" t="e">
        <f t="shared" si="133"/>
        <v>#DIV/0!</v>
      </c>
      <c r="E588" s="49" t="e">
        <f t="shared" si="126"/>
        <v>#DIV/0!</v>
      </c>
      <c r="F588" s="49" t="e">
        <f t="shared" si="127"/>
        <v>#DIV/0!</v>
      </c>
      <c r="G588" s="49">
        <f t="shared" si="128"/>
        <v>17.772023946681813</v>
      </c>
      <c r="H588" s="5">
        <f t="shared" si="129"/>
        <v>0</v>
      </c>
      <c r="I588" s="5">
        <f t="shared" si="130"/>
        <v>0</v>
      </c>
      <c r="J588" s="5" t="e">
        <f t="shared" si="131"/>
        <v>#DIV/0!</v>
      </c>
      <c r="K588" s="5" t="e">
        <f t="shared" si="140"/>
        <v>#DIV/0!</v>
      </c>
      <c r="L588" s="5">
        <f>A588*(1-Finishing!O17/100)*B588</f>
        <v>0</v>
      </c>
      <c r="M588" s="5">
        <f t="shared" si="132"/>
        <v>1.246</v>
      </c>
      <c r="N588" s="5">
        <f t="shared" si="134"/>
        <v>61.275973346462017</v>
      </c>
      <c r="O588" s="5">
        <f t="shared" si="135"/>
        <v>25.912275973552475</v>
      </c>
      <c r="P588" s="5">
        <f t="shared" si="136"/>
        <v>4.6442609322827177</v>
      </c>
      <c r="Q588" s="5">
        <f t="shared" si="137"/>
        <v>1.7647058823529411</v>
      </c>
      <c r="R588" s="5">
        <f t="shared" si="138"/>
        <v>15.022023946681815</v>
      </c>
      <c r="S588" s="5"/>
    </row>
    <row r="589" spans="1:19" x14ac:dyDescent="0.75">
      <c r="A589" s="11">
        <f t="shared" si="139"/>
        <v>188</v>
      </c>
      <c r="B589" s="15">
        <f>Comparisons!I45</f>
        <v>0</v>
      </c>
      <c r="C589" s="48" t="e">
        <f t="shared" si="125"/>
        <v>#DIV/0!</v>
      </c>
      <c r="D589" s="48" t="e">
        <f t="shared" si="133"/>
        <v>#DIV/0!</v>
      </c>
      <c r="E589" s="49" t="e">
        <f t="shared" si="126"/>
        <v>#DIV/0!</v>
      </c>
      <c r="F589" s="49" t="e">
        <f t="shared" si="127"/>
        <v>#DIV/0!</v>
      </c>
      <c r="G589" s="49">
        <f t="shared" si="128"/>
        <v>17.772023946681813</v>
      </c>
      <c r="H589" s="5">
        <f t="shared" si="129"/>
        <v>0</v>
      </c>
      <c r="I589" s="5">
        <f t="shared" si="130"/>
        <v>0</v>
      </c>
      <c r="J589" s="5" t="e">
        <f>I589*(C570-C569)</f>
        <v>#DIV/0!</v>
      </c>
      <c r="K589" s="5" t="e">
        <f t="shared" si="140"/>
        <v>#DIV/0!</v>
      </c>
      <c r="L589" s="5">
        <f>A589*(1-Finishing!O18/100)*B589</f>
        <v>0</v>
      </c>
      <c r="M589" s="5">
        <f t="shared" si="132"/>
        <v>1.3160000000000001</v>
      </c>
      <c r="N589" s="5">
        <f t="shared" si="134"/>
        <v>61.275973346462017</v>
      </c>
      <c r="O589" s="5">
        <f t="shared" si="135"/>
        <v>25.912275973552475</v>
      </c>
      <c r="P589" s="5">
        <f t="shared" si="136"/>
        <v>4.6442609322827177</v>
      </c>
      <c r="Q589" s="5">
        <f t="shared" si="137"/>
        <v>1.7647058823529411</v>
      </c>
      <c r="R589" s="5">
        <f t="shared" si="138"/>
        <v>15.022023946681815</v>
      </c>
      <c r="S589" s="5"/>
    </row>
    <row r="601" spans="1:19" x14ac:dyDescent="0.75">
      <c r="A601" s="1" t="s">
        <v>49</v>
      </c>
      <c r="B601" s="3"/>
      <c r="C601" s="12"/>
      <c r="D601" s="3"/>
      <c r="E601" s="1" t="s">
        <v>171</v>
      </c>
      <c r="F601" s="4"/>
      <c r="G601" s="3"/>
      <c r="H601" s="5"/>
      <c r="I601" s="3"/>
      <c r="J601" s="3"/>
      <c r="K601" s="3"/>
      <c r="L601" s="3"/>
      <c r="M601" s="3"/>
      <c r="N601" s="3"/>
      <c r="O601" s="5"/>
      <c r="P601" s="3"/>
      <c r="Q601" s="5"/>
      <c r="R601" s="5"/>
      <c r="S601" s="5"/>
    </row>
    <row r="602" spans="1:19" x14ac:dyDescent="0.75">
      <c r="A602" t="s">
        <v>13</v>
      </c>
      <c r="B602" s="61">
        <f>Comparisons!J3</f>
        <v>48</v>
      </c>
      <c r="C602" s="12" t="s">
        <v>9</v>
      </c>
      <c r="D602" s="3"/>
      <c r="E602" s="1"/>
      <c r="F602" s="4"/>
      <c r="G602" s="3"/>
      <c r="H602" s="5"/>
      <c r="I602" s="3"/>
      <c r="J602" s="3"/>
      <c r="K602" s="3"/>
      <c r="L602" s="3"/>
      <c r="M602" s="3"/>
      <c r="N602" s="3"/>
      <c r="O602" s="5"/>
      <c r="P602" s="3"/>
      <c r="Q602" s="5"/>
      <c r="R602" s="5"/>
      <c r="S602" s="5"/>
    </row>
    <row r="603" spans="1:19" x14ac:dyDescent="0.75">
      <c r="A603" t="s">
        <v>14</v>
      </c>
      <c r="B603" s="63">
        <f>Comparisons!J4</f>
        <v>65</v>
      </c>
      <c r="C603" s="12" t="s">
        <v>10</v>
      </c>
      <c r="D603" s="3"/>
      <c r="E603" s="1"/>
      <c r="F603" s="4"/>
      <c r="G603" s="3"/>
      <c r="H603" s="5"/>
      <c r="I603" s="3"/>
      <c r="J603" s="3"/>
      <c r="K603" s="3"/>
      <c r="L603" s="3"/>
      <c r="M603" s="3"/>
      <c r="N603" s="3"/>
      <c r="O603" s="5"/>
      <c r="P603" s="3"/>
      <c r="Q603" s="5"/>
      <c r="R603" s="5"/>
      <c r="S603" s="5"/>
    </row>
    <row r="604" spans="1:19" x14ac:dyDescent="0.75">
      <c r="A604" t="s">
        <v>15</v>
      </c>
      <c r="B604" s="63">
        <f>Comparisons!J5</f>
        <v>0</v>
      </c>
      <c r="C604" s="12" t="s">
        <v>10</v>
      </c>
      <c r="D604" s="3"/>
      <c r="E604" s="1"/>
      <c r="F604" s="4"/>
      <c r="G604" s="3"/>
      <c r="H604" s="5"/>
      <c r="I604" s="3"/>
      <c r="J604" s="3"/>
      <c r="K604" s="3"/>
      <c r="L604" s="3"/>
      <c r="M604" s="3"/>
      <c r="N604" s="3"/>
      <c r="O604" s="5"/>
      <c r="P604" s="3"/>
      <c r="Q604" s="5"/>
      <c r="R604" s="5"/>
      <c r="S604" s="5"/>
    </row>
    <row r="605" spans="1:19" x14ac:dyDescent="0.75">
      <c r="A605" t="s">
        <v>16</v>
      </c>
      <c r="B605" s="63">
        <f>Comparisons!J6</f>
        <v>0.4</v>
      </c>
      <c r="C605" s="12" t="s">
        <v>53</v>
      </c>
      <c r="D605" s="3"/>
      <c r="E605" s="3"/>
      <c r="F605" s="4"/>
      <c r="G605" s="3"/>
      <c r="H605" s="5"/>
      <c r="I605" s="3"/>
      <c r="J605" s="3"/>
      <c r="K605" s="3"/>
      <c r="L605" s="3"/>
      <c r="M605" s="3"/>
      <c r="N605" s="3"/>
      <c r="O605" s="5"/>
      <c r="P605" s="3"/>
      <c r="Q605" s="5"/>
      <c r="R605" s="5"/>
      <c r="S605" s="5"/>
    </row>
    <row r="606" spans="1:19" x14ac:dyDescent="0.75">
      <c r="A606" t="s">
        <v>18</v>
      </c>
      <c r="B606" s="63">
        <f>Comparisons!J7</f>
        <v>0.15</v>
      </c>
      <c r="C606" s="12" t="s">
        <v>52</v>
      </c>
      <c r="D606" s="3"/>
      <c r="E606" s="3"/>
      <c r="F606" s="4"/>
      <c r="G606" s="3"/>
      <c r="H606" s="5"/>
      <c r="I606" s="3"/>
      <c r="J606" s="3"/>
      <c r="K606" s="3"/>
      <c r="L606" s="3"/>
      <c r="M606" s="3"/>
      <c r="N606" s="3"/>
      <c r="O606" s="5"/>
      <c r="P606" s="3"/>
      <c r="Q606" s="5"/>
      <c r="R606" s="5"/>
      <c r="S606" s="5"/>
    </row>
    <row r="607" spans="1:19" x14ac:dyDescent="0.75">
      <c r="A607" s="2" t="s">
        <v>19</v>
      </c>
      <c r="B607" s="23">
        <f>B604*B605*B606</f>
        <v>0</v>
      </c>
      <c r="C607" s="13" t="s">
        <v>23</v>
      </c>
      <c r="D607" s="3"/>
      <c r="E607" s="3"/>
      <c r="F607" s="4"/>
      <c r="G607" s="3"/>
      <c r="H607" s="5"/>
      <c r="I607" s="3"/>
      <c r="J607" s="3"/>
      <c r="K607" s="3"/>
      <c r="L607" s="3"/>
      <c r="M607" s="3"/>
      <c r="N607" s="3"/>
      <c r="O607" s="5"/>
      <c r="P607" s="3"/>
      <c r="Q607" s="5"/>
      <c r="R607" s="5"/>
      <c r="S607" s="5"/>
    </row>
    <row r="608" spans="1:19" x14ac:dyDescent="0.75">
      <c r="A608" t="s">
        <v>46</v>
      </c>
      <c r="B608" s="61">
        <f>Comparisons!J8</f>
        <v>0</v>
      </c>
      <c r="C608" s="12" t="s">
        <v>10</v>
      </c>
      <c r="D608" s="3"/>
      <c r="E608" s="3"/>
      <c r="F608" s="4"/>
      <c r="G608" s="3"/>
      <c r="H608" s="5"/>
      <c r="I608" s="3"/>
      <c r="J608" s="3"/>
      <c r="K608" s="3"/>
      <c r="L608" s="3"/>
      <c r="M608" s="3"/>
      <c r="N608" s="3"/>
      <c r="O608" s="5"/>
      <c r="P608" s="3"/>
      <c r="Q608" s="5"/>
      <c r="R608" s="5"/>
      <c r="S608" s="5"/>
    </row>
    <row r="609" spans="1:19" x14ac:dyDescent="0.75">
      <c r="A609" t="s">
        <v>47</v>
      </c>
      <c r="B609" s="63">
        <f>Comparisons!J9</f>
        <v>0.2</v>
      </c>
      <c r="C609" s="12" t="s">
        <v>53</v>
      </c>
      <c r="D609" s="3"/>
      <c r="E609" s="3"/>
      <c r="F609" s="4"/>
      <c r="G609" s="3"/>
      <c r="H609" s="5"/>
      <c r="I609" s="3"/>
      <c r="J609" s="3"/>
      <c r="K609" s="3"/>
      <c r="L609" s="3"/>
      <c r="M609" s="3"/>
      <c r="N609" s="3"/>
      <c r="O609" s="5"/>
      <c r="P609" s="3"/>
      <c r="Q609" s="5"/>
      <c r="R609" s="5"/>
      <c r="S609" s="5"/>
    </row>
    <row r="610" spans="1:19" x14ac:dyDescent="0.75">
      <c r="A610" t="s">
        <v>48</v>
      </c>
      <c r="B610" s="63">
        <f>Comparisons!J10</f>
        <v>7.0000000000000007E-2</v>
      </c>
      <c r="C610" s="12" t="s">
        <v>52</v>
      </c>
      <c r="D610" s="3"/>
      <c r="E610" s="3"/>
      <c r="F610" s="4"/>
      <c r="G610" s="3"/>
      <c r="H610" s="5"/>
      <c r="I610" s="3"/>
      <c r="J610" s="3"/>
      <c r="K610" s="3"/>
      <c r="L610" s="3"/>
      <c r="M610" s="3"/>
      <c r="N610" s="3"/>
      <c r="O610" s="5"/>
      <c r="P610" s="3"/>
      <c r="Q610" s="5"/>
      <c r="R610" s="5"/>
      <c r="S610" s="5"/>
    </row>
    <row r="611" spans="1:19" x14ac:dyDescent="0.75">
      <c r="A611" s="2" t="s">
        <v>44</v>
      </c>
      <c r="B611" s="23">
        <f>B608*B609*B610</f>
        <v>0</v>
      </c>
      <c r="C611" s="13" t="s">
        <v>23</v>
      </c>
      <c r="D611" s="3"/>
      <c r="E611" s="3"/>
      <c r="F611" s="4"/>
      <c r="G611" s="3"/>
      <c r="H611" s="5"/>
      <c r="I611" s="3"/>
      <c r="J611" s="3"/>
      <c r="K611" s="3"/>
      <c r="L611" s="3"/>
      <c r="M611" s="3"/>
      <c r="N611" s="3"/>
      <c r="O611" s="5"/>
      <c r="P611" s="3"/>
      <c r="Q611" s="5"/>
      <c r="R611" s="5"/>
      <c r="S611" s="5"/>
    </row>
    <row r="612" spans="1:19" x14ac:dyDescent="0.75">
      <c r="A612" s="2" t="s">
        <v>45</v>
      </c>
      <c r="B612" s="23">
        <f>B607+B611</f>
        <v>0</v>
      </c>
      <c r="C612" s="13" t="s">
        <v>23</v>
      </c>
      <c r="D612" s="3"/>
      <c r="E612" s="3"/>
      <c r="F612" s="4"/>
      <c r="G612" s="3"/>
      <c r="H612" s="5"/>
      <c r="I612" s="3"/>
      <c r="J612" s="3"/>
      <c r="K612" s="3"/>
      <c r="L612" s="3"/>
      <c r="M612" s="3"/>
      <c r="N612" s="3"/>
      <c r="O612" s="5"/>
      <c r="P612" s="3"/>
      <c r="Q612" s="5"/>
      <c r="R612" s="5"/>
      <c r="S612" s="5"/>
    </row>
    <row r="613" spans="1:19" x14ac:dyDescent="0.75">
      <c r="A613" s="2"/>
      <c r="B613" s="20"/>
      <c r="C613" s="13"/>
      <c r="D613" s="3"/>
      <c r="E613" s="3"/>
      <c r="F613" s="4"/>
      <c r="G613" s="3"/>
      <c r="H613" s="5"/>
      <c r="I613" s="3"/>
      <c r="J613" s="3"/>
      <c r="K613" s="3"/>
      <c r="L613" s="3"/>
      <c r="M613" s="3"/>
      <c r="N613" s="3"/>
      <c r="O613" s="5"/>
      <c r="P613" s="3"/>
      <c r="Q613" s="5"/>
      <c r="R613" s="5"/>
      <c r="S613" s="5"/>
    </row>
    <row r="614" spans="1:19" x14ac:dyDescent="0.75">
      <c r="A614" s="1" t="s">
        <v>102</v>
      </c>
      <c r="B614" s="3"/>
      <c r="C614" s="12"/>
      <c r="D614" s="3"/>
      <c r="E614" s="3"/>
      <c r="F614" s="4"/>
      <c r="G614" s="3"/>
      <c r="H614" s="5"/>
      <c r="I614" s="3"/>
      <c r="J614" s="3"/>
      <c r="K614" s="3"/>
      <c r="L614" s="3"/>
      <c r="M614" s="3"/>
      <c r="N614" s="3"/>
      <c r="O614" s="5"/>
      <c r="P614" s="3"/>
      <c r="Q614" s="5"/>
      <c r="R614" s="5"/>
      <c r="S614" s="5"/>
    </row>
    <row r="615" spans="1:19" x14ac:dyDescent="0.75">
      <c r="A615" t="s">
        <v>78</v>
      </c>
      <c r="B615" s="61">
        <v>100</v>
      </c>
      <c r="C615" s="12" t="s">
        <v>79</v>
      </c>
      <c r="D615" s="3"/>
      <c r="E615" t="s">
        <v>62</v>
      </c>
      <c r="F615" s="3">
        <v>2.4</v>
      </c>
      <c r="G615" s="12" t="s">
        <v>64</v>
      </c>
      <c r="H615" s="5"/>
      <c r="I615" s="3"/>
      <c r="J615" s="3"/>
      <c r="K615" s="3"/>
      <c r="L615" s="3"/>
      <c r="M615" s="3"/>
      <c r="N615" s="3"/>
      <c r="O615" s="5"/>
      <c r="P615" s="3"/>
      <c r="Q615" s="5"/>
      <c r="R615" s="5"/>
      <c r="S615" s="5"/>
    </row>
    <row r="616" spans="1:19" x14ac:dyDescent="0.75">
      <c r="A616" t="s">
        <v>27</v>
      </c>
      <c r="B616" s="61">
        <f>Comparisons!J11</f>
        <v>175</v>
      </c>
      <c r="C616" s="12" t="s">
        <v>54</v>
      </c>
      <c r="D616" s="3"/>
      <c r="E616" t="s">
        <v>61</v>
      </c>
      <c r="F616" s="3">
        <f>IF(B621&lt;1.5,2.8,3.2)</f>
        <v>3.2</v>
      </c>
      <c r="G616" s="12" t="s">
        <v>64</v>
      </c>
      <c r="H616" s="5"/>
      <c r="I616" s="3"/>
      <c r="J616" s="3"/>
      <c r="K616" s="3"/>
      <c r="L616" s="3"/>
      <c r="M616" s="3"/>
      <c r="N616" s="3"/>
      <c r="O616" s="5"/>
      <c r="P616" s="3"/>
      <c r="Q616" s="5"/>
      <c r="R616" s="5"/>
      <c r="S616" s="5"/>
    </row>
    <row r="617" spans="1:19" x14ac:dyDescent="0.75">
      <c r="A617" t="s">
        <v>28</v>
      </c>
      <c r="B617" s="63">
        <f>Comparisons!J12</f>
        <v>4.2000000000000003E-2</v>
      </c>
      <c r="C617" s="12" t="s">
        <v>52</v>
      </c>
      <c r="D617" s="3"/>
      <c r="E617" t="s">
        <v>63</v>
      </c>
      <c r="F617" s="3">
        <f>IF(B621&lt;1.5,3.5,3.9)</f>
        <v>3.9</v>
      </c>
      <c r="G617" s="12" t="s">
        <v>64</v>
      </c>
      <c r="H617" s="5"/>
      <c r="I617" s="3"/>
      <c r="J617" s="4"/>
      <c r="K617" s="3"/>
      <c r="L617" s="3"/>
      <c r="M617" s="3"/>
      <c r="N617" s="3"/>
      <c r="O617" s="5"/>
      <c r="P617" s="3"/>
      <c r="Q617" s="5"/>
      <c r="R617" s="5"/>
      <c r="S617" s="5"/>
    </row>
    <row r="618" spans="1:19" x14ac:dyDescent="0.75">
      <c r="A618" t="s">
        <v>29</v>
      </c>
      <c r="B618" s="63">
        <f>Comparisons!J13</f>
        <v>5.7000000000000002E-2</v>
      </c>
      <c r="C618" s="12" t="s">
        <v>52</v>
      </c>
      <c r="D618" s="3"/>
      <c r="E618" t="s">
        <v>62</v>
      </c>
      <c r="F618" s="25">
        <f>B616*F615/100*B617</f>
        <v>0.17640000000000003</v>
      </c>
      <c r="G618" s="12" t="s">
        <v>55</v>
      </c>
      <c r="H618" s="5"/>
      <c r="I618" s="3"/>
      <c r="J618" s="4"/>
      <c r="K618" s="3"/>
      <c r="L618" s="3"/>
      <c r="M618" s="3"/>
      <c r="N618" s="3"/>
      <c r="O618" s="5"/>
      <c r="P618" s="3"/>
      <c r="Q618" s="5"/>
      <c r="R618" s="5"/>
      <c r="S618" s="5"/>
    </row>
    <row r="619" spans="1:19" x14ac:dyDescent="0.75">
      <c r="A619" t="s">
        <v>30</v>
      </c>
      <c r="B619" s="63">
        <f>Comparisons!J14</f>
        <v>12</v>
      </c>
      <c r="C619" s="12" t="s">
        <v>82</v>
      </c>
      <c r="D619" s="3"/>
      <c r="E619" t="s">
        <v>61</v>
      </c>
      <c r="F619" s="25">
        <f>F616/100*B616*B618</f>
        <v>0.31920000000000004</v>
      </c>
      <c r="G619" s="12" t="s">
        <v>55</v>
      </c>
      <c r="H619" s="5"/>
      <c r="I619" s="3"/>
      <c r="J619" s="4"/>
      <c r="K619" s="3"/>
      <c r="L619" s="3"/>
      <c r="M619" s="3"/>
      <c r="N619" s="3"/>
      <c r="O619" s="5"/>
      <c r="P619" s="3"/>
      <c r="Q619" s="5"/>
      <c r="R619" s="5"/>
      <c r="S619" s="5"/>
    </row>
    <row r="620" spans="1:19" x14ac:dyDescent="0.75">
      <c r="A620" t="s">
        <v>31</v>
      </c>
      <c r="B620" s="63">
        <f>Comparisons!J15</f>
        <v>94</v>
      </c>
      <c r="C620" s="12" t="s">
        <v>25</v>
      </c>
      <c r="D620" s="3"/>
      <c r="E620" t="s">
        <v>63</v>
      </c>
      <c r="F620" s="25">
        <f>B616*F617/100*B618</f>
        <v>0.38902500000000001</v>
      </c>
      <c r="G620" s="12" t="s">
        <v>55</v>
      </c>
      <c r="H620" s="5"/>
      <c r="I620" s="3"/>
      <c r="J620" s="4"/>
      <c r="K620" s="3"/>
      <c r="L620" s="3"/>
      <c r="M620" s="3"/>
      <c r="N620" s="3"/>
      <c r="O620" s="5"/>
      <c r="P620" s="3"/>
      <c r="Q620" s="5"/>
      <c r="R620" s="5"/>
      <c r="S620" s="5"/>
    </row>
    <row r="621" spans="1:19" x14ac:dyDescent="0.75">
      <c r="A621" t="s">
        <v>32</v>
      </c>
      <c r="B621" s="63">
        <f>Comparisons!J16</f>
        <v>1.9</v>
      </c>
      <c r="C621" s="12" t="s">
        <v>33</v>
      </c>
      <c r="D621" s="3"/>
      <c r="E621" t="s">
        <v>26</v>
      </c>
      <c r="F621" s="3">
        <f>(B619*30-4*7-B603)*F618</f>
        <v>47.098800000000004</v>
      </c>
      <c r="G621" s="12" t="s">
        <v>80</v>
      </c>
      <c r="H621" s="5"/>
      <c r="I621" s="3"/>
      <c r="J621" s="4"/>
      <c r="K621" s="3"/>
      <c r="L621" s="3"/>
      <c r="M621" s="3"/>
      <c r="N621" s="3"/>
      <c r="O621" s="5"/>
      <c r="P621" s="3"/>
      <c r="Q621" s="5"/>
      <c r="R621" s="5"/>
      <c r="S621" s="5"/>
    </row>
    <row r="622" spans="1:19" x14ac:dyDescent="0.75">
      <c r="A622" t="s">
        <v>60</v>
      </c>
      <c r="B622" s="63">
        <f>Comparisons!J17</f>
        <v>11</v>
      </c>
      <c r="C622" s="12" t="s">
        <v>84</v>
      </c>
      <c r="D622" s="3"/>
      <c r="E622" t="s">
        <v>65</v>
      </c>
      <c r="F622" s="3">
        <f>4*7*F619</f>
        <v>8.9376000000000015</v>
      </c>
      <c r="G622" s="12" t="s">
        <v>80</v>
      </c>
      <c r="H622" s="5"/>
      <c r="I622" s="3"/>
      <c r="J622" s="4"/>
      <c r="K622" s="3"/>
      <c r="L622" s="3"/>
      <c r="M622" s="3"/>
      <c r="N622" s="3"/>
      <c r="O622" s="5"/>
      <c r="P622" s="3"/>
      <c r="Q622" s="5"/>
      <c r="R622" s="5"/>
      <c r="S622" s="5"/>
    </row>
    <row r="623" spans="1:19" x14ac:dyDescent="0.75">
      <c r="A623" t="s">
        <v>59</v>
      </c>
      <c r="B623" s="63">
        <f>Comparisons!J18</f>
        <v>3</v>
      </c>
      <c r="C623" s="12" t="s">
        <v>85</v>
      </c>
      <c r="D623" s="3"/>
      <c r="E623" t="s">
        <v>66</v>
      </c>
      <c r="F623" s="10">
        <f>B603*F620</f>
        <v>25.286625000000001</v>
      </c>
      <c r="G623" s="12" t="s">
        <v>80</v>
      </c>
      <c r="H623" s="5"/>
      <c r="I623" s="3"/>
      <c r="J623" s="4"/>
      <c r="K623" s="3"/>
      <c r="L623" s="3"/>
      <c r="M623" s="3"/>
      <c r="N623" s="3"/>
      <c r="O623" s="5"/>
      <c r="P623" s="3"/>
      <c r="Q623" s="5"/>
      <c r="R623" s="5"/>
      <c r="S623" s="5"/>
    </row>
    <row r="624" spans="1:19" x14ac:dyDescent="0.75">
      <c r="A624" s="21" t="s">
        <v>72</v>
      </c>
      <c r="B624" s="24">
        <f>B615*B620/100*B621*(1-B622/100)*(1-B623/100)</f>
        <v>154.18538000000001</v>
      </c>
      <c r="C624" s="13" t="s">
        <v>77</v>
      </c>
      <c r="D624" s="3"/>
      <c r="E624" t="s">
        <v>56</v>
      </c>
      <c r="F624" s="3">
        <f>F621+F622+F623</f>
        <v>81.323025000000001</v>
      </c>
      <c r="G624" s="12" t="s">
        <v>98</v>
      </c>
      <c r="H624" s="5"/>
      <c r="I624" s="3"/>
      <c r="J624" s="4"/>
      <c r="K624" s="3"/>
      <c r="L624" s="3"/>
      <c r="M624" s="3"/>
      <c r="N624" s="3"/>
      <c r="O624" s="5"/>
      <c r="P624" s="3"/>
      <c r="Q624" s="5"/>
      <c r="R624" s="5"/>
      <c r="S624" s="5"/>
    </row>
    <row r="625" spans="1:19" s="19" customFormat="1" x14ac:dyDescent="0.75">
      <c r="A625" s="22" t="s">
        <v>71</v>
      </c>
      <c r="B625" s="26">
        <f>B621*B620/100</f>
        <v>1.786</v>
      </c>
      <c r="C625" s="13" t="s">
        <v>96</v>
      </c>
      <c r="D625" s="16"/>
      <c r="E625" t="s">
        <v>57</v>
      </c>
      <c r="F625" s="5">
        <f>(F618*365)*(1-B620/100)+F624*B620/100</f>
        <v>80.306803500000001</v>
      </c>
      <c r="G625" s="12" t="s">
        <v>81</v>
      </c>
      <c r="H625" s="18"/>
      <c r="I625" s="16"/>
      <c r="J625" s="17"/>
      <c r="K625" s="16"/>
      <c r="L625" s="16"/>
      <c r="M625" s="16"/>
      <c r="N625" s="16"/>
      <c r="O625" s="18"/>
      <c r="P625" s="16"/>
      <c r="Q625" s="18"/>
      <c r="R625" s="18"/>
      <c r="S625" s="18"/>
    </row>
    <row r="626" spans="1:19" x14ac:dyDescent="0.75">
      <c r="A626" s="22" t="s">
        <v>70</v>
      </c>
      <c r="B626" s="26">
        <f>B620/100*B621*(1-B622/100)*(1-B623/100)</f>
        <v>1.5418537999999999</v>
      </c>
      <c r="C626" s="13" t="s">
        <v>97</v>
      </c>
      <c r="D626" s="3"/>
      <c r="E626" s="2" t="s">
        <v>58</v>
      </c>
      <c r="F626" s="26">
        <f>F625/B626</f>
        <v>52.084577344492715</v>
      </c>
      <c r="G626" s="13" t="s">
        <v>118</v>
      </c>
      <c r="H626" s="5"/>
      <c r="I626" s="3"/>
      <c r="J626" s="3"/>
      <c r="K626" s="3"/>
      <c r="L626" s="3"/>
      <c r="M626" s="3"/>
      <c r="N626" s="3"/>
      <c r="O626" s="5"/>
      <c r="P626" s="3"/>
      <c r="Q626" s="5"/>
      <c r="R626" s="5"/>
      <c r="S626" s="5"/>
    </row>
    <row r="627" spans="1:19" x14ac:dyDescent="0.75">
      <c r="B627" s="3"/>
      <c r="C627" s="3"/>
      <c r="D627" s="3"/>
      <c r="E627" s="3"/>
      <c r="F627" s="4"/>
      <c r="G627" s="3"/>
      <c r="H627" s="5"/>
      <c r="I627" s="3"/>
      <c r="J627" s="3"/>
      <c r="K627" s="3"/>
      <c r="L627" s="3"/>
      <c r="M627" s="3"/>
      <c r="N627" s="3"/>
      <c r="O627" s="5"/>
      <c r="P627" s="3"/>
      <c r="Q627" s="5"/>
      <c r="R627" s="5"/>
      <c r="S627" s="5"/>
    </row>
    <row r="628" spans="1:19" x14ac:dyDescent="0.75">
      <c r="A628" s="1" t="s">
        <v>83</v>
      </c>
      <c r="B628" s="3"/>
      <c r="C628" s="12"/>
      <c r="D628" s="3"/>
      <c r="E628" s="3"/>
      <c r="F628" s="4"/>
      <c r="G628" s="3"/>
      <c r="H628" s="4"/>
      <c r="I628" s="3"/>
      <c r="J628" s="5"/>
      <c r="K628" s="3"/>
      <c r="L628" s="3"/>
      <c r="M628" s="3"/>
      <c r="N628" s="3"/>
      <c r="O628" s="5"/>
      <c r="P628" s="3"/>
      <c r="Q628" s="5"/>
      <c r="R628" s="5"/>
      <c r="S628" s="5"/>
    </row>
    <row r="629" spans="1:19" x14ac:dyDescent="0.75">
      <c r="A629" t="s">
        <v>36</v>
      </c>
      <c r="B629" s="61">
        <f>Comparisons!J19</f>
        <v>10</v>
      </c>
      <c r="C629" s="12" t="s">
        <v>35</v>
      </c>
      <c r="D629" s="3"/>
      <c r="E629" s="3"/>
      <c r="F629" s="4"/>
      <c r="G629" s="3"/>
      <c r="H629" s="5"/>
      <c r="I629" s="3"/>
      <c r="J629" s="3"/>
      <c r="K629" s="3"/>
      <c r="L629" s="3"/>
      <c r="M629" s="3"/>
      <c r="N629" s="3"/>
      <c r="O629" s="5"/>
      <c r="P629" s="3"/>
      <c r="Q629" s="5"/>
      <c r="R629" s="5"/>
      <c r="S629" s="5"/>
    </row>
    <row r="630" spans="1:19" x14ac:dyDescent="0.75">
      <c r="A630" t="s">
        <v>34</v>
      </c>
      <c r="B630" s="63">
        <f>Comparisons!J20</f>
        <v>0.4</v>
      </c>
      <c r="C630" s="12" t="s">
        <v>99</v>
      </c>
      <c r="D630" s="3"/>
      <c r="E630" s="3"/>
      <c r="F630" s="4"/>
      <c r="G630" s="3"/>
      <c r="H630" s="5"/>
      <c r="I630" s="3"/>
      <c r="J630" s="3"/>
      <c r="K630" s="3"/>
      <c r="L630" s="3"/>
      <c r="M630" s="3"/>
      <c r="N630" s="3"/>
      <c r="O630" s="5"/>
      <c r="P630" s="3"/>
      <c r="Q630" s="5"/>
      <c r="R630" s="5"/>
      <c r="S630" s="5"/>
    </row>
    <row r="631" spans="1:19" x14ac:dyDescent="0.75">
      <c r="A631" t="s">
        <v>100</v>
      </c>
      <c r="B631" s="63">
        <f>Comparisons!J21</f>
        <v>2.25</v>
      </c>
      <c r="C631" s="12" t="s">
        <v>99</v>
      </c>
      <c r="D631" s="3"/>
      <c r="E631" s="3"/>
      <c r="F631" s="4"/>
      <c r="G631" s="3"/>
      <c r="H631" s="5"/>
      <c r="I631" s="3"/>
      <c r="J631" s="3"/>
      <c r="K631" s="3"/>
      <c r="L631" s="3"/>
      <c r="M631" s="3"/>
      <c r="N631" s="3"/>
      <c r="O631" s="5"/>
      <c r="P631" s="3"/>
      <c r="Q631" s="5"/>
      <c r="R631" s="5"/>
      <c r="S631" s="5"/>
    </row>
    <row r="632" spans="1:19" x14ac:dyDescent="0.75">
      <c r="A632" t="s">
        <v>67</v>
      </c>
      <c r="B632" s="63">
        <f>Comparisons!J22</f>
        <v>8</v>
      </c>
      <c r="C632" s="12" t="s">
        <v>80</v>
      </c>
      <c r="D632" s="3"/>
      <c r="E632" s="3"/>
      <c r="F632" s="4"/>
      <c r="G632" s="3"/>
      <c r="H632" s="5"/>
      <c r="I632" s="3"/>
      <c r="J632" s="3"/>
      <c r="K632" s="3"/>
      <c r="L632" s="3"/>
      <c r="M632" s="3"/>
      <c r="N632" s="3"/>
      <c r="O632" s="5"/>
      <c r="P632" s="3"/>
      <c r="Q632" s="5"/>
      <c r="R632" s="5"/>
      <c r="S632" s="5"/>
    </row>
    <row r="633" spans="1:19" x14ac:dyDescent="0.75">
      <c r="A633" t="s">
        <v>101</v>
      </c>
      <c r="B633" s="63">
        <f>Comparisons!J23</f>
        <v>3</v>
      </c>
      <c r="C633" s="12" t="s">
        <v>80</v>
      </c>
      <c r="D633" s="3"/>
      <c r="E633" s="3"/>
      <c r="F633" s="4"/>
      <c r="G633" s="3"/>
      <c r="H633" s="5"/>
      <c r="I633" s="3"/>
      <c r="J633" s="3"/>
      <c r="K633" s="3"/>
      <c r="L633" s="3"/>
      <c r="M633" s="3"/>
      <c r="N633" s="3"/>
      <c r="O633" s="5"/>
      <c r="P633" s="3"/>
      <c r="Q633" s="5"/>
      <c r="R633" s="5"/>
      <c r="S633" s="5"/>
    </row>
    <row r="634" spans="1:19" x14ac:dyDescent="0.75">
      <c r="A634" t="s">
        <v>37</v>
      </c>
      <c r="B634" s="5">
        <f>B631*B629+B630*B629*(B620/100)</f>
        <v>26.259999999999998</v>
      </c>
      <c r="C634" s="12" t="s">
        <v>81</v>
      </c>
      <c r="D634" s="3"/>
      <c r="E634" s="3"/>
      <c r="F634" s="4"/>
      <c r="G634" s="3"/>
      <c r="H634" s="5"/>
      <c r="I634" s="3"/>
      <c r="J634" s="3"/>
      <c r="K634" s="3"/>
      <c r="L634" s="3"/>
      <c r="M634" s="3"/>
      <c r="N634" s="3"/>
      <c r="O634" s="5"/>
      <c r="P634" s="3"/>
      <c r="Q634" s="5"/>
      <c r="R634" s="5"/>
      <c r="S634" s="5"/>
    </row>
    <row r="635" spans="1:19" x14ac:dyDescent="0.75">
      <c r="A635" t="s">
        <v>38</v>
      </c>
      <c r="B635" s="5">
        <f>B632*B620/100+B633*(1-B620/100)</f>
        <v>7.6999999999999993</v>
      </c>
      <c r="C635" s="12" t="s">
        <v>81</v>
      </c>
      <c r="D635" s="3"/>
      <c r="E635" s="3"/>
      <c r="F635" s="4"/>
      <c r="G635" s="3"/>
      <c r="H635" s="5"/>
      <c r="I635" s="3"/>
      <c r="J635" s="3"/>
      <c r="K635" s="3"/>
      <c r="L635" s="3"/>
      <c r="M635" s="3"/>
      <c r="N635" s="3"/>
      <c r="O635" s="5"/>
      <c r="P635" s="3"/>
      <c r="Q635" s="5"/>
      <c r="R635" s="5"/>
      <c r="S635" s="5"/>
    </row>
    <row r="636" spans="1:19" x14ac:dyDescent="0.75">
      <c r="A636" t="s">
        <v>68</v>
      </c>
      <c r="B636" s="5">
        <f>SUM(B634:B635)</f>
        <v>33.959999999999994</v>
      </c>
      <c r="C636" s="12" t="s">
        <v>81</v>
      </c>
      <c r="D636" s="3"/>
      <c r="E636" s="3"/>
      <c r="F636" s="4"/>
      <c r="G636" s="3"/>
      <c r="H636" s="5"/>
      <c r="I636" s="3"/>
      <c r="J636" s="3"/>
      <c r="K636" s="3"/>
      <c r="L636" s="3"/>
      <c r="M636" s="3"/>
      <c r="N636" s="3"/>
      <c r="O636" s="5"/>
      <c r="P636" s="3"/>
      <c r="Q636" s="5"/>
      <c r="R636" s="5"/>
      <c r="S636" s="5"/>
    </row>
    <row r="637" spans="1:19" s="2" customFormat="1" x14ac:dyDescent="0.75">
      <c r="A637" s="2" t="s">
        <v>39</v>
      </c>
      <c r="B637" s="26">
        <f>B636/B626</f>
        <v>22.025434577519604</v>
      </c>
      <c r="C637" s="13" t="s">
        <v>118</v>
      </c>
      <c r="D637" s="6"/>
      <c r="E637" s="6"/>
      <c r="F637" s="7"/>
      <c r="G637" s="6"/>
      <c r="H637" s="8"/>
      <c r="I637" s="6"/>
      <c r="J637" s="6"/>
      <c r="K637" s="6"/>
      <c r="L637" s="6"/>
      <c r="M637" s="6"/>
      <c r="N637" s="6"/>
      <c r="O637" s="8"/>
      <c r="P637" s="6"/>
      <c r="Q637" s="8"/>
      <c r="R637" s="8"/>
      <c r="S637" s="8"/>
    </row>
    <row r="638" spans="1:19" s="2" customFormat="1" x14ac:dyDescent="0.75">
      <c r="B638" s="29"/>
      <c r="C638" s="13"/>
      <c r="D638" s="6"/>
      <c r="E638" s="6"/>
      <c r="F638" s="7"/>
      <c r="G638" s="6"/>
      <c r="H638" s="8"/>
      <c r="I638" s="6"/>
      <c r="J638" s="6"/>
      <c r="K638" s="6"/>
      <c r="L638" s="6"/>
      <c r="M638" s="6"/>
      <c r="N638" s="6"/>
      <c r="O638" s="8"/>
      <c r="P638" s="6"/>
      <c r="Q638" s="8"/>
      <c r="R638" s="8"/>
      <c r="S638" s="8"/>
    </row>
    <row r="639" spans="1:19" s="2" customFormat="1" x14ac:dyDescent="0.75">
      <c r="A639" s="1" t="s">
        <v>103</v>
      </c>
      <c r="B639" s="29"/>
      <c r="C639" s="13"/>
      <c r="D639" s="6"/>
      <c r="E639" s="6"/>
      <c r="F639" s="7"/>
      <c r="G639" s="6"/>
      <c r="H639" s="8"/>
      <c r="I639" s="6"/>
      <c r="J639" s="6"/>
      <c r="K639" s="6"/>
      <c r="L639" s="6"/>
      <c r="M639" s="6"/>
      <c r="N639" s="6"/>
      <c r="O639" s="8"/>
      <c r="P639" s="6"/>
      <c r="Q639" s="8"/>
      <c r="R639" s="8"/>
      <c r="S639" s="8"/>
    </row>
    <row r="640" spans="1:19" s="2" customFormat="1" x14ac:dyDescent="0.75">
      <c r="A640" s="30" t="s">
        <v>104</v>
      </c>
      <c r="B640" s="33">
        <f>Comparisons!J24</f>
        <v>15</v>
      </c>
      <c r="C640" s="32" t="s">
        <v>105</v>
      </c>
      <c r="D640" s="6"/>
      <c r="E640" s="6"/>
      <c r="F640" s="7"/>
      <c r="G640" s="6"/>
      <c r="H640" s="8"/>
      <c r="I640" s="6"/>
      <c r="J640" s="6"/>
      <c r="K640" s="6"/>
      <c r="L640" s="6"/>
      <c r="M640" s="6"/>
      <c r="N640" s="6"/>
      <c r="O640" s="8"/>
      <c r="P640" s="6"/>
      <c r="Q640" s="8"/>
      <c r="R640" s="8"/>
      <c r="S640" s="8"/>
    </row>
    <row r="641" spans="1:19" s="2" customFormat="1" x14ac:dyDescent="0.75">
      <c r="A641" s="30" t="s">
        <v>106</v>
      </c>
      <c r="B641" s="33">
        <f>Comparisons!J25</f>
        <v>6.5000000000000002E-2</v>
      </c>
      <c r="C641" s="32" t="s">
        <v>52</v>
      </c>
      <c r="D641" s="6"/>
      <c r="E641" s="6"/>
      <c r="F641" s="7"/>
      <c r="G641" s="6"/>
      <c r="H641" s="8"/>
      <c r="I641" s="6"/>
      <c r="J641" s="6"/>
      <c r="K641" s="6"/>
      <c r="L641" s="6"/>
      <c r="M641" s="6"/>
      <c r="N641" s="6"/>
      <c r="O641" s="8"/>
      <c r="P641" s="6"/>
      <c r="Q641" s="8"/>
      <c r="R641" s="8"/>
      <c r="S641" s="8"/>
    </row>
    <row r="642" spans="1:19" s="2" customFormat="1" x14ac:dyDescent="0.75">
      <c r="A642" s="30" t="s">
        <v>110</v>
      </c>
      <c r="B642" s="33">
        <f>Comparisons!J26</f>
        <v>115</v>
      </c>
      <c r="C642" s="30" t="s">
        <v>54</v>
      </c>
      <c r="D642" s="6"/>
      <c r="E642" s="6"/>
      <c r="F642" s="7"/>
      <c r="G642" s="6"/>
      <c r="H642" s="8"/>
      <c r="I642" s="6"/>
      <c r="J642" s="6"/>
      <c r="K642" s="6"/>
      <c r="L642" s="6"/>
      <c r="M642" s="6"/>
      <c r="N642" s="6"/>
      <c r="O642" s="8"/>
      <c r="P642" s="6"/>
      <c r="Q642" s="8"/>
      <c r="R642" s="8"/>
      <c r="S642" s="8"/>
    </row>
    <row r="643" spans="1:19" s="2" customFormat="1" x14ac:dyDescent="0.75">
      <c r="A643" s="30" t="s">
        <v>107</v>
      </c>
      <c r="B643" s="33">
        <f>Comparisons!J27</f>
        <v>230</v>
      </c>
      <c r="C643" s="32" t="s">
        <v>10</v>
      </c>
      <c r="D643" s="6"/>
      <c r="E643" s="6"/>
      <c r="F643" s="7"/>
      <c r="G643" s="6"/>
      <c r="H643" s="8"/>
      <c r="I643" s="6"/>
      <c r="J643" s="6"/>
      <c r="K643" s="6"/>
      <c r="L643" s="6"/>
      <c r="M643" s="6"/>
      <c r="N643" s="6"/>
      <c r="O643" s="8"/>
      <c r="P643" s="6"/>
      <c r="Q643" s="8"/>
      <c r="R643" s="8"/>
      <c r="S643" s="8"/>
    </row>
    <row r="644" spans="1:19" s="2" customFormat="1" x14ac:dyDescent="0.75">
      <c r="A644" s="30" t="s">
        <v>108</v>
      </c>
      <c r="B644" s="31">
        <f>0.032*(B642-B602)/(LN(B642/B602)/(B643-B603))*B641</f>
        <v>26.317478616268733</v>
      </c>
      <c r="C644" s="32" t="s">
        <v>109</v>
      </c>
      <c r="D644" s="6"/>
      <c r="E644" s="6"/>
      <c r="F644" s="7"/>
      <c r="G644" s="6"/>
      <c r="H644" s="8"/>
      <c r="I644" s="6"/>
      <c r="J644" s="6"/>
      <c r="K644" s="6"/>
      <c r="L644" s="6"/>
      <c r="M644" s="6"/>
      <c r="N644" s="6"/>
      <c r="O644" s="8"/>
      <c r="P644" s="6"/>
      <c r="Q644" s="8"/>
      <c r="R644" s="8"/>
      <c r="S644" s="8"/>
    </row>
    <row r="645" spans="1:19" s="2" customFormat="1" x14ac:dyDescent="0.75">
      <c r="A645" s="41" t="s">
        <v>108</v>
      </c>
      <c r="B645" s="26">
        <f>B644*(B640/100)</f>
        <v>3.9476217924403096</v>
      </c>
      <c r="C645" s="13" t="s">
        <v>119</v>
      </c>
      <c r="D645" s="6"/>
      <c r="E645" s="6"/>
      <c r="F645" s="7"/>
      <c r="G645" s="6"/>
      <c r="H645" s="8"/>
      <c r="I645" s="6"/>
      <c r="J645" s="6"/>
      <c r="K645" s="6"/>
      <c r="L645" s="6"/>
      <c r="M645" s="6"/>
      <c r="N645" s="6"/>
      <c r="O645" s="8"/>
      <c r="P645" s="6"/>
      <c r="Q645" s="8"/>
      <c r="R645" s="8"/>
      <c r="S645" s="8"/>
    </row>
    <row r="646" spans="1:19" s="36" customFormat="1" x14ac:dyDescent="0.75">
      <c r="A646" s="41"/>
      <c r="B646" s="29"/>
      <c r="C646" s="37"/>
      <c r="D646" s="42"/>
      <c r="E646" s="42"/>
      <c r="F646" s="43"/>
      <c r="G646" s="42"/>
      <c r="H646" s="29"/>
      <c r="I646" s="42"/>
      <c r="J646" s="42"/>
      <c r="K646" s="42"/>
      <c r="L646" s="42"/>
      <c r="M646" s="42"/>
      <c r="N646" s="42"/>
      <c r="O646" s="29"/>
      <c r="P646" s="42"/>
      <c r="Q646" s="29"/>
      <c r="R646" s="29"/>
      <c r="S646" s="29"/>
    </row>
    <row r="647" spans="1:19" s="2" customFormat="1" x14ac:dyDescent="0.75">
      <c r="A647" s="40" t="s">
        <v>114</v>
      </c>
      <c r="B647" s="44">
        <f>Comparisons!J28</f>
        <v>10</v>
      </c>
      <c r="C647" s="32" t="s">
        <v>109</v>
      </c>
      <c r="D647" s="6"/>
      <c r="E647" s="6"/>
      <c r="F647" s="7"/>
      <c r="G647" s="6"/>
      <c r="H647" s="8"/>
      <c r="I647" s="6"/>
      <c r="J647" s="6"/>
      <c r="K647" s="6"/>
      <c r="L647" s="6"/>
      <c r="M647" s="6"/>
      <c r="N647" s="6"/>
      <c r="O647" s="8"/>
      <c r="P647" s="6"/>
      <c r="Q647" s="8"/>
      <c r="R647" s="8"/>
      <c r="S647" s="8"/>
    </row>
    <row r="648" spans="1:19" s="2" customFormat="1" x14ac:dyDescent="0.75">
      <c r="A648" s="41" t="s">
        <v>114</v>
      </c>
      <c r="B648" s="26">
        <f>B647*(B640/100)</f>
        <v>1.5</v>
      </c>
      <c r="C648" s="13" t="s">
        <v>119</v>
      </c>
      <c r="D648" s="6"/>
      <c r="E648" s="6"/>
      <c r="F648" s="7"/>
      <c r="G648" s="6"/>
      <c r="H648" s="8"/>
      <c r="I648" s="6"/>
      <c r="J648" s="6"/>
      <c r="K648" s="6"/>
      <c r="L648" s="6"/>
      <c r="M648" s="6"/>
      <c r="N648" s="6"/>
      <c r="O648" s="8"/>
      <c r="P648" s="6"/>
      <c r="Q648" s="8"/>
      <c r="R648" s="8"/>
      <c r="S648" s="8"/>
    </row>
    <row r="649" spans="1:19" s="2" customFormat="1" x14ac:dyDescent="0.75">
      <c r="A649" s="41"/>
      <c r="B649" s="29"/>
      <c r="C649" s="13"/>
      <c r="D649" s="6"/>
      <c r="E649" s="6"/>
      <c r="F649" s="7"/>
      <c r="G649" s="6"/>
      <c r="H649" s="8"/>
      <c r="I649" s="6"/>
      <c r="J649" s="6"/>
      <c r="K649" s="6"/>
      <c r="L649" s="6"/>
      <c r="M649" s="6"/>
      <c r="N649" s="6"/>
      <c r="O649" s="8"/>
      <c r="P649" s="6"/>
      <c r="Q649" s="8"/>
      <c r="R649" s="8"/>
      <c r="S649" s="8"/>
    </row>
    <row r="650" spans="1:19" s="2" customFormat="1" x14ac:dyDescent="0.75">
      <c r="A650" s="38" t="s">
        <v>111</v>
      </c>
      <c r="B650" s="34">
        <f>Comparisons!J29</f>
        <v>0.75</v>
      </c>
      <c r="C650" s="39" t="s">
        <v>112</v>
      </c>
      <c r="D650" s="6"/>
      <c r="E650" s="6"/>
      <c r="F650" s="7"/>
      <c r="G650" s="6"/>
      <c r="H650" s="8"/>
      <c r="I650" s="6"/>
      <c r="J650" s="6"/>
      <c r="K650" s="6"/>
      <c r="L650" s="6"/>
      <c r="M650" s="6"/>
      <c r="N650" s="6"/>
      <c r="O650" s="8"/>
      <c r="P650" s="6"/>
      <c r="Q650" s="8"/>
      <c r="R650" s="8"/>
      <c r="S650" s="8"/>
    </row>
    <row r="651" spans="1:19" s="2" customFormat="1" x14ac:dyDescent="0.75">
      <c r="A651" s="41" t="s">
        <v>113</v>
      </c>
      <c r="B651" s="45">
        <f>B650*B616*B640/100/B626</f>
        <v>12.768720354679543</v>
      </c>
      <c r="C651" s="13" t="s">
        <v>119</v>
      </c>
      <c r="D651" s="6"/>
      <c r="E651" s="6"/>
      <c r="F651" s="7"/>
      <c r="G651" s="6"/>
      <c r="H651" s="8"/>
      <c r="I651" s="6"/>
      <c r="J651" s="6"/>
      <c r="K651" s="6"/>
      <c r="L651" s="6"/>
      <c r="M651" s="6"/>
      <c r="N651" s="6"/>
      <c r="O651" s="8"/>
      <c r="P651" s="6"/>
      <c r="Q651" s="8"/>
      <c r="R651" s="8"/>
      <c r="S651" s="8"/>
    </row>
    <row r="653" spans="1:19" x14ac:dyDescent="0.75">
      <c r="A653" s="1" t="s">
        <v>88</v>
      </c>
      <c r="B653" s="3"/>
      <c r="C653" s="3"/>
      <c r="D653" s="90" t="s">
        <v>127</v>
      </c>
      <c r="E653" s="90"/>
      <c r="F653" s="90"/>
      <c r="G653" s="86" t="s">
        <v>123</v>
      </c>
      <c r="H653" s="86"/>
      <c r="I653" s="86"/>
      <c r="J653" s="86"/>
      <c r="K653" s="87" t="s">
        <v>124</v>
      </c>
      <c r="L653" s="88"/>
      <c r="M653" s="88"/>
      <c r="N653" s="88"/>
      <c r="O653" s="89"/>
      <c r="P653" s="91" t="s">
        <v>130</v>
      </c>
      <c r="Q653" s="92"/>
      <c r="R653" s="92"/>
      <c r="S653" s="93"/>
    </row>
    <row r="654" spans="1:19" x14ac:dyDescent="0.75">
      <c r="A654" s="3" t="s">
        <v>0</v>
      </c>
      <c r="B654" s="3" t="s">
        <v>40</v>
      </c>
      <c r="C654" s="3" t="s">
        <v>6</v>
      </c>
      <c r="D654" s="3" t="s">
        <v>3</v>
      </c>
      <c r="E654" s="3" t="s">
        <v>2</v>
      </c>
      <c r="F654" s="3" t="s">
        <v>5</v>
      </c>
      <c r="G654" s="3" t="s">
        <v>8</v>
      </c>
      <c r="H654" s="3" t="s">
        <v>69</v>
      </c>
      <c r="I654" s="3" t="s">
        <v>126</v>
      </c>
      <c r="J654" s="3" t="s">
        <v>125</v>
      </c>
      <c r="K654" s="3" t="s">
        <v>50</v>
      </c>
      <c r="L654" s="3" t="s">
        <v>22</v>
      </c>
      <c r="M654" s="3" t="s">
        <v>7</v>
      </c>
      <c r="N654" s="3" t="s">
        <v>51</v>
      </c>
      <c r="O654" s="3" t="s">
        <v>21</v>
      </c>
      <c r="P654" s="3" t="s">
        <v>8</v>
      </c>
      <c r="Q654" s="3" t="s">
        <v>69</v>
      </c>
      <c r="R654" s="3" t="s">
        <v>126</v>
      </c>
      <c r="S654" s="3" t="s">
        <v>125</v>
      </c>
    </row>
    <row r="655" spans="1:19" x14ac:dyDescent="0.75">
      <c r="A655" s="3" t="s">
        <v>24</v>
      </c>
      <c r="B655" s="3" t="s">
        <v>25</v>
      </c>
      <c r="C655" s="3" t="s">
        <v>10</v>
      </c>
      <c r="D655" s="3" t="s">
        <v>12</v>
      </c>
      <c r="E655" s="3" t="s">
        <v>17</v>
      </c>
      <c r="F655" s="3" t="s">
        <v>52</v>
      </c>
      <c r="G655" s="3" t="s">
        <v>23</v>
      </c>
      <c r="H655" s="3" t="s">
        <v>86</v>
      </c>
      <c r="I655" s="3" t="s">
        <v>23</v>
      </c>
      <c r="J655" s="3" t="s">
        <v>87</v>
      </c>
      <c r="K655" s="3" t="s">
        <v>76</v>
      </c>
      <c r="L655" s="3" t="s">
        <v>76</v>
      </c>
      <c r="M655" s="3" t="s">
        <v>23</v>
      </c>
      <c r="N655" s="3" t="s">
        <v>23</v>
      </c>
      <c r="O655" s="3" t="s">
        <v>25</v>
      </c>
      <c r="P655" s="3" t="s">
        <v>23</v>
      </c>
      <c r="Q655" s="3" t="s">
        <v>86</v>
      </c>
      <c r="R655" s="3" t="s">
        <v>23</v>
      </c>
      <c r="S655" s="3" t="s">
        <v>23</v>
      </c>
    </row>
    <row r="656" spans="1:19" x14ac:dyDescent="0.75">
      <c r="A656" s="5">
        <f>B602</f>
        <v>48</v>
      </c>
      <c r="B656" s="5">
        <f>A656/$B$616*100</f>
        <v>27.428571428571431</v>
      </c>
      <c r="C656" s="5">
        <f>B603</f>
        <v>65</v>
      </c>
      <c r="D656" s="67">
        <f>Finishing!D4</f>
        <v>0.7995812722283262</v>
      </c>
      <c r="E656" s="67">
        <f>Finishing!E4</f>
        <v>2.9890645053996687</v>
      </c>
      <c r="F656" s="67">
        <f>Finishing!F4</f>
        <v>0.115</v>
      </c>
      <c r="G656" s="67">
        <f>Finishing!G4</f>
        <v>0.85</v>
      </c>
      <c r="H656" s="67">
        <f>Finishing!H4</f>
        <v>0.3</v>
      </c>
      <c r="I656" s="67">
        <f>Finishing!I4</f>
        <v>1</v>
      </c>
      <c r="J656" s="67">
        <f>Finishing!J4</f>
        <v>2E-3</v>
      </c>
      <c r="K656" s="67">
        <f>Finishing!K4</f>
        <v>2</v>
      </c>
      <c r="L656" s="67">
        <f>Finishing!L4</f>
        <v>4</v>
      </c>
      <c r="M656" s="67">
        <f>Finishing!M4</f>
        <v>0</v>
      </c>
      <c r="N656" s="67">
        <f>Finishing!N4</f>
        <v>2</v>
      </c>
      <c r="O656" s="67">
        <f>Finishing!O4</f>
        <v>5</v>
      </c>
      <c r="P656" s="5">
        <f>G656</f>
        <v>0.85</v>
      </c>
      <c r="Q656" s="5">
        <f>H656</f>
        <v>0.3</v>
      </c>
      <c r="R656" s="5">
        <f>I656</f>
        <v>1</v>
      </c>
      <c r="S656" s="5">
        <f>J656*(C657-C656)*$B$629</f>
        <v>0.25013092095394712</v>
      </c>
    </row>
    <row r="657" spans="1:19" x14ac:dyDescent="0.75">
      <c r="A657" s="5">
        <f>A656+10</f>
        <v>58</v>
      </c>
      <c r="B657" s="5">
        <f t="shared" ref="B657:B670" si="141">A657/$B$616*100</f>
        <v>33.142857142857139</v>
      </c>
      <c r="C657" s="5">
        <f>C656+(A657-A656)/D656</f>
        <v>77.506546047697356</v>
      </c>
      <c r="D657" s="67">
        <f>Finishing!D5</f>
        <v>0.80548945537627681</v>
      </c>
      <c r="E657" s="67">
        <f>Finishing!E5</f>
        <v>3.4115902842158219</v>
      </c>
      <c r="F657" s="67">
        <f>Finishing!F5</f>
        <v>0.115</v>
      </c>
      <c r="G657" s="67">
        <f>Finishing!G5</f>
        <v>0</v>
      </c>
      <c r="H657" s="67">
        <f>Finishing!H5</f>
        <v>0.3</v>
      </c>
      <c r="I657" s="67">
        <f>Finishing!I5</f>
        <v>0.4</v>
      </c>
      <c r="J657" s="67">
        <f>Finishing!J5</f>
        <v>2E-3</v>
      </c>
      <c r="K657" s="67">
        <f>Finishing!K5</f>
        <v>2.1</v>
      </c>
      <c r="L657" s="67">
        <f>Finishing!L5</f>
        <v>4</v>
      </c>
      <c r="M657" s="67">
        <f>Finishing!M5</f>
        <v>0</v>
      </c>
      <c r="N657" s="67">
        <f>Finishing!N5</f>
        <v>2</v>
      </c>
      <c r="O657" s="67">
        <f>Finishing!O5</f>
        <v>5</v>
      </c>
      <c r="P657" s="5">
        <f>P656+G657</f>
        <v>0.85</v>
      </c>
      <c r="Q657" s="5">
        <f>H657+Q656</f>
        <v>0.6</v>
      </c>
      <c r="R657" s="5">
        <f>I657+R656</f>
        <v>1.4</v>
      </c>
      <c r="S657" s="5">
        <f>J657*(C658-C657)*$B$629+S656</f>
        <v>0.49842715706863572</v>
      </c>
    </row>
    <row r="658" spans="1:19" x14ac:dyDescent="0.75">
      <c r="A658" s="5">
        <f t="shared" ref="A658:A670" si="142">A657+10</f>
        <v>68</v>
      </c>
      <c r="B658" s="5">
        <f t="shared" si="141"/>
        <v>38.857142857142854</v>
      </c>
      <c r="C658" s="5">
        <f t="shared" ref="C658:C670" si="143">C657+(A658-A657)/D657</f>
        <v>89.921357853431786</v>
      </c>
      <c r="D658" s="67">
        <f>Finishing!D6</f>
        <v>0.77446414795503105</v>
      </c>
      <c r="E658" s="67">
        <f>Finishing!E6</f>
        <v>3.95886627947305</v>
      </c>
      <c r="F658" s="67">
        <f>Finishing!F6</f>
        <v>0.115</v>
      </c>
      <c r="G658" s="67">
        <f>Finishing!G6</f>
        <v>0</v>
      </c>
      <c r="H658" s="67">
        <f>Finishing!H6</f>
        <v>0.2</v>
      </c>
      <c r="I658" s="67">
        <f>Finishing!I6</f>
        <v>0.4</v>
      </c>
      <c r="J658" s="67">
        <f>Finishing!J6</f>
        <v>2E-3</v>
      </c>
      <c r="K658" s="67">
        <f>Finishing!K6</f>
        <v>2.2000000000000002</v>
      </c>
      <c r="L658" s="67">
        <f>Finishing!L6</f>
        <v>4.5</v>
      </c>
      <c r="M658" s="67">
        <f>Finishing!M6</f>
        <v>0</v>
      </c>
      <c r="N658" s="67">
        <f>Finishing!N6</f>
        <v>2</v>
      </c>
      <c r="O658" s="67">
        <f>Finishing!O6</f>
        <v>5</v>
      </c>
      <c r="P658" s="5">
        <f t="shared" ref="P658:P670" si="144">P657+G658</f>
        <v>0.85</v>
      </c>
      <c r="Q658" s="5">
        <f t="shared" ref="Q658:Q670" si="145">H658+Q657</f>
        <v>0.8</v>
      </c>
      <c r="R658" s="5">
        <f t="shared" ref="R658:R670" si="146">I658+R657</f>
        <v>1.7999999999999998</v>
      </c>
      <c r="S658" s="5">
        <f t="shared" ref="S658:S669" si="147">J658*(C659-C658)*$B$629+S657</f>
        <v>0.75667022813667562</v>
      </c>
    </row>
    <row r="659" spans="1:19" x14ac:dyDescent="0.75">
      <c r="A659" s="5">
        <f t="shared" si="142"/>
        <v>78</v>
      </c>
      <c r="B659" s="5">
        <f t="shared" si="141"/>
        <v>44.571428571428569</v>
      </c>
      <c r="C659" s="5">
        <f t="shared" si="143"/>
        <v>102.83351140683378</v>
      </c>
      <c r="D659" s="67">
        <f>Finishing!D7</f>
        <v>0.72062550635879374</v>
      </c>
      <c r="E659" s="67">
        <f>Finishing!E7</f>
        <v>4.6404130446293825</v>
      </c>
      <c r="F659" s="67">
        <f>Finishing!F7</f>
        <v>0.115</v>
      </c>
      <c r="G659" s="67">
        <f>Finishing!G7</f>
        <v>0</v>
      </c>
      <c r="H659" s="67">
        <f>Finishing!H7</f>
        <v>0.2</v>
      </c>
      <c r="I659" s="67">
        <f>Finishing!I7</f>
        <v>0.4</v>
      </c>
      <c r="J659" s="67">
        <f>Finishing!J7</f>
        <v>2E-3</v>
      </c>
      <c r="K659" s="67">
        <f>Finishing!K7</f>
        <v>2.2999999999999998</v>
      </c>
      <c r="L659" s="67">
        <f>Finishing!L7</f>
        <v>4.5</v>
      </c>
      <c r="M659" s="67">
        <f>Finishing!M7</f>
        <v>0</v>
      </c>
      <c r="N659" s="67">
        <f>Finishing!N7</f>
        <v>2</v>
      </c>
      <c r="O659" s="67">
        <f>Finishing!O7</f>
        <v>5</v>
      </c>
      <c r="P659" s="5">
        <f t="shared" si="144"/>
        <v>0.85</v>
      </c>
      <c r="Q659" s="5">
        <f t="shared" si="145"/>
        <v>1</v>
      </c>
      <c r="R659" s="5">
        <f t="shared" si="146"/>
        <v>2.1999999999999997</v>
      </c>
      <c r="S659" s="5">
        <f t="shared" si="147"/>
        <v>1.0342068934853228</v>
      </c>
    </row>
    <row r="660" spans="1:19" x14ac:dyDescent="0.75">
      <c r="A660" s="5">
        <f t="shared" si="142"/>
        <v>88</v>
      </c>
      <c r="B660" s="5">
        <f t="shared" si="141"/>
        <v>50.285714285714292</v>
      </c>
      <c r="C660" s="5">
        <f t="shared" si="143"/>
        <v>116.71034467426614</v>
      </c>
      <c r="D660" s="67">
        <f>Finishing!D8</f>
        <v>0.65537759149894059</v>
      </c>
      <c r="E660" s="67">
        <f>Finishing!E8</f>
        <v>5.4655515331359776</v>
      </c>
      <c r="F660" s="67">
        <f>Finishing!F8</f>
        <v>0.115</v>
      </c>
      <c r="G660" s="67">
        <f>Finishing!G8</f>
        <v>0</v>
      </c>
      <c r="H660" s="67">
        <f>Finishing!H8</f>
        <v>0.15</v>
      </c>
      <c r="I660" s="67">
        <f>Finishing!I8</f>
        <v>0.4</v>
      </c>
      <c r="J660" s="67">
        <f>Finishing!J8</f>
        <v>2E-3</v>
      </c>
      <c r="K660" s="67">
        <f>Finishing!K8</f>
        <v>2.4</v>
      </c>
      <c r="L660" s="67">
        <f>Finishing!L8</f>
        <v>5</v>
      </c>
      <c r="M660" s="67">
        <f>Finishing!M8</f>
        <v>0</v>
      </c>
      <c r="N660" s="67">
        <f>Finishing!N8</f>
        <v>2</v>
      </c>
      <c r="O660" s="67">
        <f>Finishing!O8</f>
        <v>4</v>
      </c>
      <c r="P660" s="5">
        <f t="shared" si="144"/>
        <v>0.85</v>
      </c>
      <c r="Q660" s="5">
        <f t="shared" si="145"/>
        <v>1.1499999999999999</v>
      </c>
      <c r="R660" s="5">
        <f t="shared" si="146"/>
        <v>2.5999999999999996</v>
      </c>
      <c r="S660" s="5">
        <f t="shared" si="147"/>
        <v>1.33937448327516</v>
      </c>
    </row>
    <row r="661" spans="1:19" x14ac:dyDescent="0.75">
      <c r="A661" s="5">
        <f t="shared" si="142"/>
        <v>98</v>
      </c>
      <c r="B661" s="5">
        <f t="shared" si="141"/>
        <v>56.000000000000007</v>
      </c>
      <c r="C661" s="5">
        <f t="shared" si="143"/>
        <v>131.968724163758</v>
      </c>
      <c r="D661" s="67">
        <f>Finishing!D9</f>
        <v>0.58663869534177293</v>
      </c>
      <c r="E661" s="67">
        <f>Finishing!E9</f>
        <v>6.4434890333952319</v>
      </c>
      <c r="F661" s="67">
        <f>Finishing!F9</f>
        <v>0.11</v>
      </c>
      <c r="G661" s="67">
        <f>Finishing!G9</f>
        <v>0</v>
      </c>
      <c r="H661" s="67">
        <f>Finishing!H9</f>
        <v>0.15</v>
      </c>
      <c r="I661" s="67">
        <f>Finishing!I9</f>
        <v>0.4</v>
      </c>
      <c r="J661" s="67">
        <f>Finishing!J9</f>
        <v>2E-3</v>
      </c>
      <c r="K661" s="67">
        <f>Finishing!K9</f>
        <v>2.5</v>
      </c>
      <c r="L661" s="67">
        <f>Finishing!L9</f>
        <v>5</v>
      </c>
      <c r="M661" s="67">
        <f>Finishing!M9</f>
        <v>0</v>
      </c>
      <c r="N661" s="67">
        <f>Finishing!N9</f>
        <v>2</v>
      </c>
      <c r="O661" s="67">
        <f>Finishing!O9</f>
        <v>4</v>
      </c>
      <c r="P661" s="5">
        <f t="shared" si="144"/>
        <v>0.85</v>
      </c>
      <c r="Q661" s="5">
        <f t="shared" si="145"/>
        <v>1.2999999999999998</v>
      </c>
      <c r="R661" s="5">
        <f t="shared" si="146"/>
        <v>2.9999999999999996</v>
      </c>
      <c r="S661" s="5">
        <f t="shared" si="147"/>
        <v>1.6802998289574476</v>
      </c>
    </row>
    <row r="662" spans="1:19" x14ac:dyDescent="0.75">
      <c r="A662" s="5">
        <f t="shared" si="142"/>
        <v>108</v>
      </c>
      <c r="B662" s="5">
        <f t="shared" si="141"/>
        <v>61.714285714285708</v>
      </c>
      <c r="C662" s="5">
        <f t="shared" si="143"/>
        <v>149.01499144787238</v>
      </c>
      <c r="D662" s="67">
        <f>Finishing!D10</f>
        <v>0.51923926932535602</v>
      </c>
      <c r="E662" s="67">
        <f>Finishing!E10</f>
        <v>7.5841721392078352</v>
      </c>
      <c r="F662" s="67">
        <f>Finishing!F10</f>
        <v>0.11</v>
      </c>
      <c r="G662" s="67">
        <f>Finishing!G10</f>
        <v>0.85</v>
      </c>
      <c r="H662" s="67">
        <f>Finishing!H10</f>
        <v>0.15</v>
      </c>
      <c r="I662" s="67">
        <f>Finishing!I10</f>
        <v>0.4</v>
      </c>
      <c r="J662" s="67">
        <f>Finishing!J10</f>
        <v>2E-3</v>
      </c>
      <c r="K662" s="67">
        <f>Finishing!K10</f>
        <v>2.6</v>
      </c>
      <c r="L662" s="67">
        <f>Finishing!L10</f>
        <v>5.5</v>
      </c>
      <c r="M662" s="67">
        <f>Finishing!M10</f>
        <v>0</v>
      </c>
      <c r="N662" s="67">
        <f>Finishing!N10</f>
        <v>2</v>
      </c>
      <c r="O662" s="67">
        <f>Finishing!O10</f>
        <v>4</v>
      </c>
      <c r="P662" s="5">
        <f t="shared" si="144"/>
        <v>1.7</v>
      </c>
      <c r="Q662" s="5">
        <f t="shared" si="145"/>
        <v>1.4499999999999997</v>
      </c>
      <c r="R662" s="5">
        <f t="shared" si="146"/>
        <v>3.3999999999999995</v>
      </c>
      <c r="S662" s="5">
        <f t="shared" si="147"/>
        <v>2.0654787085515478</v>
      </c>
    </row>
    <row r="663" spans="1:19" x14ac:dyDescent="0.75">
      <c r="A663" s="5">
        <f t="shared" si="142"/>
        <v>118</v>
      </c>
      <c r="B663" s="5">
        <f t="shared" si="141"/>
        <v>67.428571428571431</v>
      </c>
      <c r="C663" s="5">
        <f t="shared" si="143"/>
        <v>168.27393542757738</v>
      </c>
      <c r="D663" s="67">
        <f>Finishing!D11</f>
        <v>0.45573186334741117</v>
      </c>
      <c r="E663" s="67">
        <f>Finishing!E11</f>
        <v>8.8999701934557311</v>
      </c>
      <c r="F663" s="67">
        <f>Finishing!F11</f>
        <v>0.11</v>
      </c>
      <c r="G663" s="67">
        <f>Finishing!G11</f>
        <v>0</v>
      </c>
      <c r="H663" s="67">
        <f>Finishing!H11</f>
        <v>0.15</v>
      </c>
      <c r="I663" s="67">
        <f>Finishing!I11</f>
        <v>0.4</v>
      </c>
      <c r="J663" s="67">
        <f>Finishing!J11</f>
        <v>2E-3</v>
      </c>
      <c r="K663" s="67">
        <f>Finishing!K11</f>
        <v>2.7</v>
      </c>
      <c r="L663" s="67">
        <f>Finishing!L11</f>
        <v>5.5</v>
      </c>
      <c r="M663" s="67">
        <f>Finishing!M11</f>
        <v>0</v>
      </c>
      <c r="N663" s="67">
        <f>Finishing!N11</f>
        <v>2</v>
      </c>
      <c r="O663" s="67">
        <f>Finishing!O11</f>
        <v>4</v>
      </c>
      <c r="P663" s="5">
        <f t="shared" si="144"/>
        <v>1.7</v>
      </c>
      <c r="Q663" s="5">
        <f t="shared" si="145"/>
        <v>1.5999999999999996</v>
      </c>
      <c r="R663" s="5">
        <f t="shared" si="146"/>
        <v>3.7999999999999994</v>
      </c>
      <c r="S663" s="5">
        <f t="shared" si="147"/>
        <v>2.5043332545799371</v>
      </c>
    </row>
    <row r="664" spans="1:19" x14ac:dyDescent="0.75">
      <c r="A664" s="5">
        <f t="shared" si="142"/>
        <v>128</v>
      </c>
      <c r="B664" s="5">
        <f t="shared" si="141"/>
        <v>73.142857142857139</v>
      </c>
      <c r="C664" s="5">
        <f t="shared" si="143"/>
        <v>190.21666272899685</v>
      </c>
      <c r="D664" s="67">
        <f>Finishing!D12</f>
        <v>0.39717641305340173</v>
      </c>
      <c r="E664" s="67">
        <f>Finishing!E12</f>
        <v>10.408473071748519</v>
      </c>
      <c r="F664" s="67">
        <f>Finishing!F12</f>
        <v>0.11</v>
      </c>
      <c r="G664" s="67">
        <f>Finishing!G12</f>
        <v>0</v>
      </c>
      <c r="H664" s="67">
        <f>Finishing!H12</f>
        <v>0.15</v>
      </c>
      <c r="I664" s="67">
        <f>Finishing!I12</f>
        <v>0.4</v>
      </c>
      <c r="J664" s="67">
        <f>Finishing!J12</f>
        <v>2E-3</v>
      </c>
      <c r="K664" s="67">
        <f>Finishing!K12</f>
        <v>2.8</v>
      </c>
      <c r="L664" s="67">
        <f>Finishing!L12</f>
        <v>6</v>
      </c>
      <c r="M664" s="67">
        <f>Finishing!M12</f>
        <v>0</v>
      </c>
      <c r="N664" s="67">
        <f>Finishing!N12</f>
        <v>2</v>
      </c>
      <c r="O664" s="67">
        <f>Finishing!O12</f>
        <v>4</v>
      </c>
      <c r="P664" s="5">
        <f t="shared" si="144"/>
        <v>1.7</v>
      </c>
      <c r="Q664" s="5">
        <f t="shared" si="145"/>
        <v>1.7499999999999996</v>
      </c>
      <c r="R664" s="5">
        <f t="shared" si="146"/>
        <v>4.1999999999999993</v>
      </c>
      <c r="S664" s="5">
        <f t="shared" si="147"/>
        <v>3.0078878298943312</v>
      </c>
    </row>
    <row r="665" spans="1:19" x14ac:dyDescent="0.75">
      <c r="A665" s="5">
        <f t="shared" si="142"/>
        <v>138</v>
      </c>
      <c r="B665" s="5">
        <f t="shared" si="141"/>
        <v>78.857142857142861</v>
      </c>
      <c r="C665" s="5">
        <f t="shared" si="143"/>
        <v>215.39439149471656</v>
      </c>
      <c r="D665" s="67">
        <f>Finishing!D13</f>
        <v>0.34374155492040259</v>
      </c>
      <c r="E665" s="67">
        <f>Finishing!E13</f>
        <v>12.137025449151981</v>
      </c>
      <c r="F665" s="67">
        <f>Finishing!F13</f>
        <v>0.11</v>
      </c>
      <c r="G665" s="67">
        <f>Finishing!G13</f>
        <v>0</v>
      </c>
      <c r="H665" s="67">
        <f>Finishing!H13</f>
        <v>0.15</v>
      </c>
      <c r="I665" s="67">
        <f>Finishing!I13</f>
        <v>0.4</v>
      </c>
      <c r="J665" s="67">
        <f>Finishing!J13</f>
        <v>2E-3</v>
      </c>
      <c r="K665" s="67">
        <f>Finishing!K13</f>
        <v>2.9</v>
      </c>
      <c r="L665" s="67">
        <f>Finishing!L13</f>
        <v>6</v>
      </c>
      <c r="M665" s="67">
        <f>Finishing!M13</f>
        <v>0</v>
      </c>
      <c r="N665" s="67">
        <f>Finishing!N13</f>
        <v>2.75</v>
      </c>
      <c r="O665" s="67">
        <f>Finishing!O13</f>
        <v>3</v>
      </c>
      <c r="P665" s="5">
        <f t="shared" si="144"/>
        <v>1.7</v>
      </c>
      <c r="Q665" s="5">
        <f t="shared" si="145"/>
        <v>1.8999999999999995</v>
      </c>
      <c r="R665" s="5">
        <f t="shared" si="146"/>
        <v>4.5999999999999996</v>
      </c>
      <c r="S665" s="5">
        <f t="shared" si="147"/>
        <v>3.5897203058843594</v>
      </c>
    </row>
    <row r="666" spans="1:19" x14ac:dyDescent="0.75">
      <c r="A666" s="5">
        <f t="shared" si="142"/>
        <v>148</v>
      </c>
      <c r="B666" s="5">
        <f t="shared" si="141"/>
        <v>84.571428571428569</v>
      </c>
      <c r="C666" s="5">
        <f t="shared" si="143"/>
        <v>244.48601529421796</v>
      </c>
      <c r="D666" s="67">
        <f>Finishing!D14</f>
        <v>0.29511059472295603</v>
      </c>
      <c r="E666" s="67">
        <f>Finishing!E14</f>
        <v>14.130295809659806</v>
      </c>
      <c r="F666" s="67">
        <f>Finishing!F14</f>
        <v>0.11</v>
      </c>
      <c r="G666" s="67">
        <f>Finishing!G14</f>
        <v>0</v>
      </c>
      <c r="H666" s="67">
        <f>Finishing!H14</f>
        <v>0.15</v>
      </c>
      <c r="I666" s="67">
        <f>Finishing!I14</f>
        <v>0.4</v>
      </c>
      <c r="J666" s="67">
        <f>Finishing!J14</f>
        <v>2E-3</v>
      </c>
      <c r="K666" s="67">
        <f>Finishing!K14</f>
        <v>3</v>
      </c>
      <c r="L666" s="67">
        <f>Finishing!L14</f>
        <v>6.5</v>
      </c>
      <c r="M666" s="67">
        <f>Finishing!M14</f>
        <v>3.5</v>
      </c>
      <c r="N666" s="67">
        <f>Finishing!N14</f>
        <v>2.75</v>
      </c>
      <c r="O666" s="67">
        <f>Finishing!O14</f>
        <v>3</v>
      </c>
      <c r="P666" s="5">
        <f t="shared" si="144"/>
        <v>1.7</v>
      </c>
      <c r="Q666" s="5">
        <f t="shared" si="145"/>
        <v>2.0499999999999994</v>
      </c>
      <c r="R666" s="5">
        <f t="shared" si="146"/>
        <v>5</v>
      </c>
      <c r="S666" s="5">
        <f t="shared" si="147"/>
        <v>4.2674323351246386</v>
      </c>
    </row>
    <row r="667" spans="1:19" x14ac:dyDescent="0.75">
      <c r="A667" s="5">
        <f t="shared" si="142"/>
        <v>158</v>
      </c>
      <c r="B667" s="5">
        <f t="shared" si="141"/>
        <v>90.285714285714278</v>
      </c>
      <c r="C667" s="5">
        <f t="shared" si="143"/>
        <v>278.3716167562319</v>
      </c>
      <c r="D667" s="67">
        <f>Finishing!D15</f>
        <v>0.25073374395891568</v>
      </c>
      <c r="E667" s="67">
        <f>Finishing!E15</f>
        <v>16.463679498505787</v>
      </c>
      <c r="F667" s="67">
        <f>Finishing!F15</f>
        <v>0.11</v>
      </c>
      <c r="G667" s="67">
        <f>Finishing!G15</f>
        <v>0</v>
      </c>
      <c r="H667" s="67">
        <f>Finishing!H15</f>
        <v>0.15</v>
      </c>
      <c r="I667" s="67">
        <f>Finishing!I15</f>
        <v>0.4</v>
      </c>
      <c r="J667" s="67">
        <f>Finishing!J15</f>
        <v>2E-3</v>
      </c>
      <c r="K667" s="67">
        <f>Finishing!K15</f>
        <v>3.1</v>
      </c>
      <c r="L667" s="67">
        <f>Finishing!L15</f>
        <v>6.5</v>
      </c>
      <c r="M667" s="67">
        <f>Finishing!M15</f>
        <v>3.5</v>
      </c>
      <c r="N667" s="67">
        <f>Finishing!N15</f>
        <v>2.75</v>
      </c>
      <c r="O667" s="67">
        <f>Finishing!O15</f>
        <v>3</v>
      </c>
      <c r="P667" s="5">
        <f t="shared" si="144"/>
        <v>1.7</v>
      </c>
      <c r="Q667" s="5">
        <f t="shared" si="145"/>
        <v>2.1999999999999993</v>
      </c>
      <c r="R667" s="5">
        <f t="shared" si="146"/>
        <v>5.4</v>
      </c>
      <c r="S667" s="5">
        <f t="shared" si="147"/>
        <v>5.0650912255561211</v>
      </c>
    </row>
    <row r="668" spans="1:19" x14ac:dyDescent="0.75">
      <c r="A668" s="5">
        <f t="shared" si="142"/>
        <v>168</v>
      </c>
      <c r="B668" s="5">
        <f t="shared" si="141"/>
        <v>96</v>
      </c>
      <c r="C668" s="5">
        <f t="shared" si="143"/>
        <v>318.25456127780603</v>
      </c>
      <c r="D668" s="67">
        <f>Finishing!D16</f>
        <v>0.20997477820430568</v>
      </c>
      <c r="E668" s="67">
        <f>Finishing!E16</f>
        <v>19.268980944288639</v>
      </c>
      <c r="F668" s="67">
        <f>Finishing!F16</f>
        <v>0.11</v>
      </c>
      <c r="G668" s="67">
        <f>Finishing!G16</f>
        <v>0</v>
      </c>
      <c r="H668" s="67">
        <f>Finishing!H16</f>
        <v>0.15</v>
      </c>
      <c r="I668" s="67">
        <f>Finishing!I16</f>
        <v>0.4</v>
      </c>
      <c r="J668" s="67">
        <f>Finishing!J16</f>
        <v>2E-3</v>
      </c>
      <c r="K668" s="67">
        <f>Finishing!K16</f>
        <v>3.2</v>
      </c>
      <c r="L668" s="67">
        <f>Finishing!L16</f>
        <v>6</v>
      </c>
      <c r="M668" s="67">
        <f>Finishing!M16</f>
        <v>3.5</v>
      </c>
      <c r="N668" s="67">
        <f>Finishing!N16</f>
        <v>2.75</v>
      </c>
      <c r="O668" s="67">
        <f>Finishing!O16</f>
        <v>3</v>
      </c>
      <c r="P668" s="5">
        <f t="shared" si="144"/>
        <v>1.7</v>
      </c>
      <c r="Q668" s="5">
        <f t="shared" si="145"/>
        <v>2.3499999999999992</v>
      </c>
      <c r="R668" s="5">
        <f t="shared" si="146"/>
        <v>5.8000000000000007</v>
      </c>
      <c r="S668" s="5">
        <f t="shared" si="147"/>
        <v>6.017586576237715</v>
      </c>
    </row>
    <row r="669" spans="1:19" x14ac:dyDescent="0.75">
      <c r="A669" s="5">
        <f t="shared" si="142"/>
        <v>178</v>
      </c>
      <c r="B669" s="5">
        <f t="shared" si="141"/>
        <v>101.71428571428571</v>
      </c>
      <c r="C669" s="5">
        <f t="shared" si="143"/>
        <v>365.87932881188573</v>
      </c>
      <c r="D669" s="67">
        <f>Finishing!D17</f>
        <v>0</v>
      </c>
      <c r="E669" s="67">
        <f>Finishing!E17</f>
        <v>0</v>
      </c>
      <c r="F669" s="67">
        <f>Finishing!F17</f>
        <v>0.11</v>
      </c>
      <c r="G669" s="67">
        <f>Finishing!G17</f>
        <v>0</v>
      </c>
      <c r="H669" s="67">
        <f>Finishing!H17</f>
        <v>0.15</v>
      </c>
      <c r="I669" s="67">
        <f>Finishing!I17</f>
        <v>0.4</v>
      </c>
      <c r="J669" s="67">
        <f>Finishing!J17</f>
        <v>2E-3</v>
      </c>
      <c r="K669" s="67">
        <f>Finishing!K17</f>
        <v>3.3</v>
      </c>
      <c r="L669" s="67">
        <f>Finishing!L17</f>
        <v>6</v>
      </c>
      <c r="M669" s="67">
        <f>Finishing!M17</f>
        <v>3.5</v>
      </c>
      <c r="N669" s="67">
        <f>Finishing!N17</f>
        <v>2.75</v>
      </c>
      <c r="O669" s="67">
        <f>Finishing!O17</f>
        <v>3</v>
      </c>
      <c r="P669" s="5">
        <f t="shared" si="144"/>
        <v>1.7</v>
      </c>
      <c r="Q669" s="5">
        <f t="shared" si="145"/>
        <v>2.4999999999999991</v>
      </c>
      <c r="R669" s="5">
        <f t="shared" si="146"/>
        <v>6.2000000000000011</v>
      </c>
      <c r="S669" s="5" t="e">
        <f t="shared" si="147"/>
        <v>#DIV/0!</v>
      </c>
    </row>
    <row r="670" spans="1:19" x14ac:dyDescent="0.75">
      <c r="A670" s="5">
        <f t="shared" si="142"/>
        <v>188</v>
      </c>
      <c r="B670" s="5">
        <f t="shared" si="141"/>
        <v>107.42857142857143</v>
      </c>
      <c r="C670" s="5" t="e">
        <f t="shared" si="143"/>
        <v>#DIV/0!</v>
      </c>
      <c r="D670" s="67">
        <f>Finishing!D18</f>
        <v>0</v>
      </c>
      <c r="E670" s="67">
        <f>Finishing!E18</f>
        <v>0</v>
      </c>
      <c r="F670" s="67">
        <f>Finishing!F18</f>
        <v>0.11</v>
      </c>
      <c r="G670" s="67">
        <f>Finishing!G18</f>
        <v>0</v>
      </c>
      <c r="H670" s="67">
        <f>Finishing!H18</f>
        <v>0.15</v>
      </c>
      <c r="I670" s="67">
        <f>Finishing!I18</f>
        <v>0.4</v>
      </c>
      <c r="J670" s="67">
        <f>Finishing!J18</f>
        <v>2E-3</v>
      </c>
      <c r="K670" s="67">
        <f>Finishing!K18</f>
        <v>3.4</v>
      </c>
      <c r="L670" s="67">
        <f>Finishing!L18</f>
        <v>6</v>
      </c>
      <c r="M670" s="67">
        <f>Finishing!M18</f>
        <v>3.5</v>
      </c>
      <c r="N670" s="67">
        <f>Finishing!N18</f>
        <v>2.75</v>
      </c>
      <c r="O670" s="67">
        <f>Finishing!O18</f>
        <v>3</v>
      </c>
      <c r="P670" s="5">
        <f t="shared" si="144"/>
        <v>1.7</v>
      </c>
      <c r="Q670" s="5">
        <f t="shared" si="145"/>
        <v>2.649999999999999</v>
      </c>
      <c r="R670" s="5">
        <f t="shared" si="146"/>
        <v>6.6000000000000014</v>
      </c>
      <c r="S670" s="5" t="e">
        <f>J670*(C670-C669)*$B$629+S669</f>
        <v>#DIV/0!</v>
      </c>
    </row>
    <row r="672" spans="1:19" x14ac:dyDescent="0.75">
      <c r="A672" s="1" t="s">
        <v>89</v>
      </c>
      <c r="B672" s="3"/>
      <c r="C672" s="3"/>
      <c r="D672" s="3"/>
      <c r="E672" s="3"/>
      <c r="F672" s="4"/>
      <c r="G672" s="3"/>
      <c r="H672" s="5"/>
      <c r="I672" s="3"/>
      <c r="J672" s="3" t="s">
        <v>128</v>
      </c>
      <c r="K672" s="3"/>
      <c r="L672" s="3"/>
      <c r="M672" s="3"/>
      <c r="N672" s="3"/>
      <c r="O672" s="5"/>
      <c r="P672" s="3"/>
      <c r="Q672" s="5"/>
      <c r="R672" s="5"/>
      <c r="S672" s="5"/>
    </row>
    <row r="673" spans="1:19" x14ac:dyDescent="0.75">
      <c r="A673" s="3" t="s">
        <v>0</v>
      </c>
      <c r="B673" s="3" t="s">
        <v>1</v>
      </c>
      <c r="C673" s="3" t="s">
        <v>90</v>
      </c>
      <c r="D673" s="3" t="s">
        <v>90</v>
      </c>
      <c r="E673" s="3" t="s">
        <v>91</v>
      </c>
      <c r="F673" s="3" t="s">
        <v>91</v>
      </c>
      <c r="G673" s="3" t="s">
        <v>92</v>
      </c>
      <c r="H673" s="3" t="s">
        <v>4</v>
      </c>
      <c r="I673" s="4" t="s">
        <v>5</v>
      </c>
      <c r="J673" s="3" t="s">
        <v>5</v>
      </c>
      <c r="K673" s="5" t="s">
        <v>129</v>
      </c>
      <c r="L673" s="3" t="s">
        <v>20</v>
      </c>
      <c r="M673" s="3" t="s">
        <v>122</v>
      </c>
      <c r="N673" s="3" t="s">
        <v>94</v>
      </c>
      <c r="O673" s="3" t="s">
        <v>95</v>
      </c>
      <c r="P673" s="5" t="s">
        <v>115</v>
      </c>
      <c r="Q673" s="5" t="s">
        <v>116</v>
      </c>
      <c r="R673" s="5" t="s">
        <v>113</v>
      </c>
      <c r="S673" s="5"/>
    </row>
    <row r="674" spans="1:19" x14ac:dyDescent="0.75">
      <c r="A674" s="3" t="s">
        <v>24</v>
      </c>
      <c r="B674" s="3" t="s">
        <v>11</v>
      </c>
      <c r="C674" s="3" t="s">
        <v>76</v>
      </c>
      <c r="D674" s="3" t="s">
        <v>174</v>
      </c>
      <c r="E674" s="3" t="s">
        <v>76</v>
      </c>
      <c r="F674" s="3" t="s">
        <v>93</v>
      </c>
      <c r="G674" s="3" t="s">
        <v>76</v>
      </c>
      <c r="H674" s="3" t="s">
        <v>73</v>
      </c>
      <c r="I674" s="4" t="s">
        <v>74</v>
      </c>
      <c r="J674" s="3" t="s">
        <v>75</v>
      </c>
      <c r="K674" s="5" t="s">
        <v>76</v>
      </c>
      <c r="L674" s="3" t="s">
        <v>76</v>
      </c>
      <c r="M674" s="3" t="s">
        <v>76</v>
      </c>
      <c r="N674" s="3" t="s">
        <v>120</v>
      </c>
      <c r="O674" s="3" t="s">
        <v>121</v>
      </c>
      <c r="P674" s="3" t="s">
        <v>117</v>
      </c>
      <c r="Q674" s="3" t="s">
        <v>117</v>
      </c>
      <c r="R674" s="3" t="s">
        <v>117</v>
      </c>
      <c r="S674" s="5"/>
    </row>
    <row r="675" spans="1:19" x14ac:dyDescent="0.75">
      <c r="A675" s="11">
        <f>B602</f>
        <v>48</v>
      </c>
      <c r="B675" s="15">
        <f>Comparisons!J31</f>
        <v>2.4</v>
      </c>
      <c r="C675" s="48">
        <f t="shared" ref="C675:C689" si="148">G675-E675-F675</f>
        <v>20.693848396157637</v>
      </c>
      <c r="D675" s="48">
        <f>C675*$B$626*(1-Q656/100)</f>
        <v>31.811168119880836</v>
      </c>
      <c r="E675" s="49">
        <f t="shared" ref="E675:E689" si="149">K675+M675+P656+R656+S656+K656+L656+M656+(N675+O675+P675+Q675)</f>
        <v>105.47077123681372</v>
      </c>
      <c r="F675" s="49">
        <f t="shared" ref="F675:F689" si="150">(K675+P656+R656+S656+M656+(N675+O675+P675+Q675))*(Q656/100)</f>
        <v>0.29740431371044118</v>
      </c>
      <c r="G675" s="49">
        <f t="shared" ref="G675:G689" si="151">L675+N656+R675</f>
        <v>126.4620239466818</v>
      </c>
      <c r="H675" s="5">
        <f t="shared" ref="H675:H689" si="152">D656*E656</f>
        <v>2.3899999999999997</v>
      </c>
      <c r="I675" s="5">
        <f t="shared" ref="I675:I689" si="153">H675*F656</f>
        <v>0.27484999999999998</v>
      </c>
      <c r="J675" s="5">
        <f t="shared" ref="J675:J688" si="154">I675*(C657-C656)</f>
        <v>3.437424181209618</v>
      </c>
      <c r="K675" s="5">
        <f>$B$212+J675</f>
        <v>3.437424181209618</v>
      </c>
      <c r="L675" s="5">
        <f t="shared" ref="L675:L689" si="155">A675*(1-O656/100)*B675</f>
        <v>109.43999999999998</v>
      </c>
      <c r="M675" s="5">
        <f t="shared" ref="M675:M689" si="156">0.007*A675</f>
        <v>0.33600000000000002</v>
      </c>
      <c r="N675" s="5">
        <f>$F$626/(1-$B$640/100)</f>
        <v>61.275973346462017</v>
      </c>
      <c r="O675" s="5">
        <f>$B$637/(1-$B$640/100)</f>
        <v>25.912275973552475</v>
      </c>
      <c r="P675" s="5">
        <f>$B$645/(1-$B$640/100)</f>
        <v>4.6442609322827177</v>
      </c>
      <c r="Q675" s="5">
        <f>$B$648/(1-$B$640/100)</f>
        <v>1.7647058823529411</v>
      </c>
      <c r="R675" s="5">
        <f>$B$651/(1-$B$640/100)</f>
        <v>15.022023946681815</v>
      </c>
      <c r="S675" s="5"/>
    </row>
    <row r="676" spans="1:19" x14ac:dyDescent="0.75">
      <c r="A676" s="11">
        <f>A675+10</f>
        <v>58</v>
      </c>
      <c r="B676" s="15">
        <f>Comparisons!J32</f>
        <v>2.2999999999999998</v>
      </c>
      <c r="C676" s="48">
        <f t="shared" si="148"/>
        <v>32.917389269106529</v>
      </c>
      <c r="D676" s="48">
        <f t="shared" ref="D676:D689" si="157">C676*$B$626*(1-Q657/100)</f>
        <v>50.449278920267211</v>
      </c>
      <c r="E676" s="49">
        <f t="shared" si="149"/>
        <v>110.2123962997766</v>
      </c>
      <c r="F676" s="49">
        <f t="shared" si="150"/>
        <v>0.62223837779865965</v>
      </c>
      <c r="G676" s="49">
        <f t="shared" si="151"/>
        <v>143.75202394668179</v>
      </c>
      <c r="H676" s="5">
        <f t="shared" si="152"/>
        <v>2.7479999999999998</v>
      </c>
      <c r="I676" s="5">
        <f t="shared" si="153"/>
        <v>0.31601999999999997</v>
      </c>
      <c r="J676" s="5">
        <f t="shared" si="154"/>
        <v>3.9233288268481945</v>
      </c>
      <c r="K676" s="5">
        <f>J676+K675</f>
        <v>7.360753008057813</v>
      </c>
      <c r="L676" s="5">
        <f t="shared" si="155"/>
        <v>126.72999999999998</v>
      </c>
      <c r="M676" s="5">
        <f t="shared" si="156"/>
        <v>0.40600000000000003</v>
      </c>
      <c r="N676" s="5">
        <f t="shared" ref="N676:N689" si="158">$F$626/(1-$B$640/100)</f>
        <v>61.275973346462017</v>
      </c>
      <c r="O676" s="5">
        <f t="shared" ref="O676:O689" si="159">$B$637/(1-$B$640/100)</f>
        <v>25.912275973552475</v>
      </c>
      <c r="P676" s="5">
        <f t="shared" ref="P676:P689" si="160">$B$645/(1-$B$640/100)</f>
        <v>4.6442609322827177</v>
      </c>
      <c r="Q676" s="5">
        <f t="shared" ref="Q676:Q689" si="161">$B$648/(1-$B$640/100)</f>
        <v>1.7647058823529411</v>
      </c>
      <c r="R676" s="5">
        <f t="shared" ref="R676:R689" si="162">$B$651/(1-$B$640/100)</f>
        <v>15.022023946681815</v>
      </c>
      <c r="S676" s="5"/>
    </row>
    <row r="677" spans="1:19" x14ac:dyDescent="0.75">
      <c r="A677" s="11">
        <f t="shared" ref="A677:A689" si="163">A676+10</f>
        <v>68</v>
      </c>
      <c r="B677" s="15">
        <f>Comparisons!J33</f>
        <v>2.25</v>
      </c>
      <c r="C677" s="48">
        <f t="shared" si="148"/>
        <v>45.407349669705269</v>
      </c>
      <c r="D677" s="48">
        <f t="shared" si="157"/>
        <v>69.451402679074505</v>
      </c>
      <c r="E677" s="49">
        <f t="shared" si="149"/>
        <v>116.09333559223865</v>
      </c>
      <c r="F677" s="49">
        <f t="shared" si="150"/>
        <v>0.87133868473790921</v>
      </c>
      <c r="G677" s="49">
        <f t="shared" si="151"/>
        <v>162.37202394668182</v>
      </c>
      <c r="H677" s="5">
        <f t="shared" si="152"/>
        <v>3.0659999999999994</v>
      </c>
      <c r="I677" s="5">
        <f t="shared" si="153"/>
        <v>0.35258999999999996</v>
      </c>
      <c r="J677" s="5">
        <f t="shared" si="154"/>
        <v>4.5526962213940081</v>
      </c>
      <c r="K677" s="5">
        <f t="shared" ref="K677:K689" si="164">J677+K676</f>
        <v>11.913449229451821</v>
      </c>
      <c r="L677" s="5">
        <f t="shared" si="155"/>
        <v>145.35</v>
      </c>
      <c r="M677" s="5">
        <f t="shared" si="156"/>
        <v>0.47600000000000003</v>
      </c>
      <c r="N677" s="5">
        <f t="shared" si="158"/>
        <v>61.275973346462017</v>
      </c>
      <c r="O677" s="5">
        <f t="shared" si="159"/>
        <v>25.912275973552475</v>
      </c>
      <c r="P677" s="5">
        <f t="shared" si="160"/>
        <v>4.6442609322827177</v>
      </c>
      <c r="Q677" s="5">
        <f t="shared" si="161"/>
        <v>1.7647058823529411</v>
      </c>
      <c r="R677" s="5">
        <f t="shared" si="162"/>
        <v>15.022023946681815</v>
      </c>
      <c r="S677" s="5"/>
    </row>
    <row r="678" spans="1:19" x14ac:dyDescent="0.75">
      <c r="A678" s="11">
        <f t="shared" si="163"/>
        <v>78</v>
      </c>
      <c r="B678" s="15">
        <f>Comparisons!J34</f>
        <v>2.15</v>
      </c>
      <c r="C678" s="48">
        <f t="shared" si="148"/>
        <v>52.91036321518159</v>
      </c>
      <c r="D678" s="48">
        <f t="shared" si="157"/>
        <v>80.764244136880876</v>
      </c>
      <c r="E678" s="49">
        <f t="shared" si="149"/>
        <v>122.27734725891109</v>
      </c>
      <c r="F678" s="49">
        <f t="shared" si="150"/>
        <v>1.149313472589111</v>
      </c>
      <c r="G678" s="49">
        <f t="shared" si="151"/>
        <v>176.3370239466818</v>
      </c>
      <c r="H678" s="5">
        <f t="shared" si="152"/>
        <v>3.3440000000000007</v>
      </c>
      <c r="I678" s="5">
        <f t="shared" si="153"/>
        <v>0.38456000000000012</v>
      </c>
      <c r="J678" s="5">
        <f t="shared" si="154"/>
        <v>5.33647500132379</v>
      </c>
      <c r="K678" s="5">
        <f t="shared" si="164"/>
        <v>17.249924230775612</v>
      </c>
      <c r="L678" s="5">
        <f t="shared" si="155"/>
        <v>159.31499999999997</v>
      </c>
      <c r="M678" s="5">
        <f t="shared" si="156"/>
        <v>0.54600000000000004</v>
      </c>
      <c r="N678" s="5">
        <f t="shared" si="158"/>
        <v>61.275973346462017</v>
      </c>
      <c r="O678" s="5">
        <f t="shared" si="159"/>
        <v>25.912275973552475</v>
      </c>
      <c r="P678" s="5">
        <f t="shared" si="160"/>
        <v>4.6442609322827177</v>
      </c>
      <c r="Q678" s="5">
        <f t="shared" si="161"/>
        <v>1.7647058823529411</v>
      </c>
      <c r="R678" s="5">
        <f t="shared" si="162"/>
        <v>15.022023946681815</v>
      </c>
      <c r="S678" s="5"/>
    </row>
    <row r="679" spans="1:19" x14ac:dyDescent="0.75">
      <c r="A679" s="11">
        <f t="shared" si="163"/>
        <v>88</v>
      </c>
      <c r="B679" s="15">
        <f>Comparisons!J35</f>
        <v>2.0499999999999998</v>
      </c>
      <c r="C679" s="48">
        <f t="shared" si="148"/>
        <v>58.866022995088684</v>
      </c>
      <c r="D679" s="48">
        <f t="shared" si="157"/>
        <v>89.719029031537417</v>
      </c>
      <c r="E679" s="49">
        <f t="shared" si="149"/>
        <v>129.93789911180733</v>
      </c>
      <c r="F679" s="49">
        <f t="shared" si="150"/>
        <v>1.4021018397857841</v>
      </c>
      <c r="G679" s="49">
        <f t="shared" si="151"/>
        <v>190.2060239466818</v>
      </c>
      <c r="H679" s="5">
        <f t="shared" si="152"/>
        <v>3.5819999999999994</v>
      </c>
      <c r="I679" s="5">
        <f t="shared" si="153"/>
        <v>0.41192999999999996</v>
      </c>
      <c r="J679" s="5">
        <f t="shared" si="154"/>
        <v>6.2853842631063808</v>
      </c>
      <c r="K679" s="5">
        <f t="shared" si="164"/>
        <v>23.535308493881992</v>
      </c>
      <c r="L679" s="5">
        <f t="shared" si="155"/>
        <v>173.18399999999997</v>
      </c>
      <c r="M679" s="5">
        <f t="shared" si="156"/>
        <v>0.61599999999999999</v>
      </c>
      <c r="N679" s="5">
        <f t="shared" si="158"/>
        <v>61.275973346462017</v>
      </c>
      <c r="O679" s="5">
        <f t="shared" si="159"/>
        <v>25.912275973552475</v>
      </c>
      <c r="P679" s="5">
        <f t="shared" si="160"/>
        <v>4.6442609322827177</v>
      </c>
      <c r="Q679" s="5">
        <f t="shared" si="161"/>
        <v>1.7647058823529411</v>
      </c>
      <c r="R679" s="5">
        <f t="shared" si="162"/>
        <v>15.022023946681815</v>
      </c>
      <c r="S679" s="5"/>
    </row>
    <row r="680" spans="1:19" x14ac:dyDescent="0.75">
      <c r="A680" s="11">
        <f t="shared" si="163"/>
        <v>98</v>
      </c>
      <c r="B680" s="15">
        <f>Comparisons!J36</f>
        <v>1.95</v>
      </c>
      <c r="C680" s="48">
        <f t="shared" si="148"/>
        <v>60.854602941332544</v>
      </c>
      <c r="D680" s="48">
        <f t="shared" si="157"/>
        <v>92.609125082281153</v>
      </c>
      <c r="E680" s="49">
        <f t="shared" si="149"/>
        <v>137.93666239422436</v>
      </c>
      <c r="F680" s="49">
        <f t="shared" si="150"/>
        <v>1.6867586111249162</v>
      </c>
      <c r="G680" s="49">
        <f t="shared" si="151"/>
        <v>200.47802394668182</v>
      </c>
      <c r="H680" s="5">
        <f t="shared" si="152"/>
        <v>3.7800000000000002</v>
      </c>
      <c r="I680" s="5">
        <f t="shared" si="153"/>
        <v>0.4158</v>
      </c>
      <c r="J680" s="5">
        <f t="shared" si="154"/>
        <v>7.0878379367347586</v>
      </c>
      <c r="K680" s="5">
        <f t="shared" si="164"/>
        <v>30.62314643061675</v>
      </c>
      <c r="L680" s="5">
        <f t="shared" si="155"/>
        <v>183.45599999999999</v>
      </c>
      <c r="M680" s="5">
        <f t="shared" si="156"/>
        <v>0.68600000000000005</v>
      </c>
      <c r="N680" s="5">
        <f t="shared" si="158"/>
        <v>61.275973346462017</v>
      </c>
      <c r="O680" s="5">
        <f t="shared" si="159"/>
        <v>25.912275973552475</v>
      </c>
      <c r="P680" s="5">
        <f t="shared" si="160"/>
        <v>4.6442609322827177</v>
      </c>
      <c r="Q680" s="5">
        <f t="shared" si="161"/>
        <v>1.7647058823529411</v>
      </c>
      <c r="R680" s="5">
        <f t="shared" si="162"/>
        <v>15.022023946681815</v>
      </c>
      <c r="S680" s="5"/>
    </row>
    <row r="681" spans="1:19" x14ac:dyDescent="0.75">
      <c r="A681" s="11">
        <f t="shared" si="163"/>
        <v>108</v>
      </c>
      <c r="B681" s="15">
        <f>Comparisons!J37</f>
        <v>1.85</v>
      </c>
      <c r="C681" s="48">
        <f t="shared" si="148"/>
        <v>58.219531075644021</v>
      </c>
      <c r="D681" s="48">
        <f t="shared" si="157"/>
        <v>88.464398147463413</v>
      </c>
      <c r="E681" s="49">
        <f t="shared" si="149"/>
        <v>148.58443062694707</v>
      </c>
      <c r="F681" s="49">
        <f t="shared" si="150"/>
        <v>2.0260622440907321</v>
      </c>
      <c r="G681" s="49">
        <f t="shared" si="151"/>
        <v>208.83002394668182</v>
      </c>
      <c r="H681" s="5">
        <f t="shared" si="152"/>
        <v>3.9379999999999988</v>
      </c>
      <c r="I681" s="5">
        <f t="shared" si="153"/>
        <v>0.4331799999999999</v>
      </c>
      <c r="J681" s="5">
        <f t="shared" si="154"/>
        <v>8.3425893531286146</v>
      </c>
      <c r="K681" s="5">
        <f t="shared" si="164"/>
        <v>38.965735783745366</v>
      </c>
      <c r="L681" s="5">
        <f t="shared" si="155"/>
        <v>191.80799999999999</v>
      </c>
      <c r="M681" s="5">
        <f t="shared" si="156"/>
        <v>0.75600000000000001</v>
      </c>
      <c r="N681" s="5">
        <f t="shared" si="158"/>
        <v>61.275973346462017</v>
      </c>
      <c r="O681" s="5">
        <f t="shared" si="159"/>
        <v>25.912275973552475</v>
      </c>
      <c r="P681" s="5">
        <f t="shared" si="160"/>
        <v>4.6442609322827177</v>
      </c>
      <c r="Q681" s="5">
        <f t="shared" si="161"/>
        <v>1.7647058823529411</v>
      </c>
      <c r="R681" s="5">
        <f t="shared" si="162"/>
        <v>15.022023946681815</v>
      </c>
      <c r="S681" s="5"/>
    </row>
    <row r="682" spans="1:19" x14ac:dyDescent="0.75">
      <c r="A682" s="11">
        <f t="shared" si="163"/>
        <v>118</v>
      </c>
      <c r="B682" s="15">
        <f>Comparisons!J38</f>
        <v>1.68</v>
      </c>
      <c r="C682" s="48">
        <f t="shared" si="148"/>
        <v>45.543455522732629</v>
      </c>
      <c r="D682" s="48">
        <f t="shared" si="157"/>
        <v>69.097808363450582</v>
      </c>
      <c r="E682" s="49">
        <f t="shared" si="149"/>
        <v>159.38325238577676</v>
      </c>
      <c r="F682" s="49">
        <f t="shared" si="150"/>
        <v>2.4057160381724279</v>
      </c>
      <c r="G682" s="49">
        <f t="shared" si="151"/>
        <v>207.33242394668181</v>
      </c>
      <c r="H682" s="5">
        <f t="shared" si="152"/>
        <v>4.056</v>
      </c>
      <c r="I682" s="5">
        <f t="shared" si="153"/>
        <v>0.44616</v>
      </c>
      <c r="J682" s="5">
        <f t="shared" si="154"/>
        <v>9.7899672128013098</v>
      </c>
      <c r="K682" s="5">
        <f t="shared" si="164"/>
        <v>48.755702996546674</v>
      </c>
      <c r="L682" s="5">
        <f t="shared" si="155"/>
        <v>190.31039999999999</v>
      </c>
      <c r="M682" s="5">
        <f t="shared" si="156"/>
        <v>0.82600000000000007</v>
      </c>
      <c r="N682" s="5">
        <f t="shared" si="158"/>
        <v>61.275973346462017</v>
      </c>
      <c r="O682" s="5">
        <f t="shared" si="159"/>
        <v>25.912275973552475</v>
      </c>
      <c r="P682" s="5">
        <f t="shared" si="160"/>
        <v>4.6442609322827177</v>
      </c>
      <c r="Q682" s="5">
        <f t="shared" si="161"/>
        <v>1.7647058823529411</v>
      </c>
      <c r="R682" s="5">
        <f t="shared" si="162"/>
        <v>15.022023946681815</v>
      </c>
      <c r="S682" s="5"/>
    </row>
    <row r="683" spans="1:19" x14ac:dyDescent="0.75">
      <c r="A683" s="11">
        <f t="shared" si="163"/>
        <v>128</v>
      </c>
      <c r="B683" s="15">
        <f>Comparisons!J39</f>
        <v>1.65</v>
      </c>
      <c r="C683" s="48">
        <f t="shared" si="148"/>
        <v>44.520469378217022</v>
      </c>
      <c r="D683" s="48">
        <f t="shared" si="157"/>
        <v>67.442783928037272</v>
      </c>
      <c r="E683" s="49">
        <f t="shared" si="149"/>
        <v>172.40612734001454</v>
      </c>
      <c r="F683" s="49">
        <f t="shared" si="150"/>
        <v>2.8474272284502535</v>
      </c>
      <c r="G683" s="49">
        <f t="shared" si="151"/>
        <v>219.77402394668181</v>
      </c>
      <c r="H683" s="5">
        <f t="shared" si="152"/>
        <v>4.1339999999999986</v>
      </c>
      <c r="I683" s="5">
        <f t="shared" si="153"/>
        <v>0.45473999999999987</v>
      </c>
      <c r="J683" s="5">
        <f t="shared" si="154"/>
        <v>11.449320378923376</v>
      </c>
      <c r="K683" s="5">
        <f t="shared" si="164"/>
        <v>60.205023375470049</v>
      </c>
      <c r="L683" s="5">
        <f t="shared" si="155"/>
        <v>202.75199999999998</v>
      </c>
      <c r="M683" s="5">
        <f t="shared" si="156"/>
        <v>0.89600000000000002</v>
      </c>
      <c r="N683" s="5">
        <f t="shared" si="158"/>
        <v>61.275973346462017</v>
      </c>
      <c r="O683" s="5">
        <f t="shared" si="159"/>
        <v>25.912275973552475</v>
      </c>
      <c r="P683" s="5">
        <f t="shared" si="160"/>
        <v>4.6442609322827177</v>
      </c>
      <c r="Q683" s="5">
        <f t="shared" si="161"/>
        <v>1.7647058823529411</v>
      </c>
      <c r="R683" s="5">
        <f t="shared" si="162"/>
        <v>15.022023946681815</v>
      </c>
      <c r="S683" s="5"/>
    </row>
    <row r="684" spans="1:19" x14ac:dyDescent="0.75">
      <c r="A684" s="11">
        <f t="shared" si="163"/>
        <v>138</v>
      </c>
      <c r="B684" s="15">
        <f>Comparisons!J40</f>
        <v>1.6</v>
      </c>
      <c r="C684" s="48">
        <f t="shared" si="148"/>
        <v>41.675525068218711</v>
      </c>
      <c r="D684" s="48">
        <f t="shared" si="157"/>
        <v>63.036672926253132</v>
      </c>
      <c r="E684" s="49">
        <f t="shared" si="149"/>
        <v>186.90868781007174</v>
      </c>
      <c r="F684" s="49">
        <f t="shared" si="150"/>
        <v>3.3638110683913625</v>
      </c>
      <c r="G684" s="49">
        <f t="shared" si="151"/>
        <v>231.94802394668181</v>
      </c>
      <c r="H684" s="5">
        <f t="shared" si="152"/>
        <v>4.1719999999999997</v>
      </c>
      <c r="I684" s="5">
        <f t="shared" si="153"/>
        <v>0.45891999999999999</v>
      </c>
      <c r="J684" s="5">
        <f t="shared" si="154"/>
        <v>13.350727994067185</v>
      </c>
      <c r="K684" s="5">
        <f t="shared" si="164"/>
        <v>73.555751369537234</v>
      </c>
      <c r="L684" s="5">
        <f t="shared" si="155"/>
        <v>214.17599999999999</v>
      </c>
      <c r="M684" s="5">
        <f t="shared" si="156"/>
        <v>0.96599999999999997</v>
      </c>
      <c r="N684" s="5">
        <f t="shared" si="158"/>
        <v>61.275973346462017</v>
      </c>
      <c r="O684" s="5">
        <f t="shared" si="159"/>
        <v>25.912275973552475</v>
      </c>
      <c r="P684" s="5">
        <f t="shared" si="160"/>
        <v>4.6442609322827177</v>
      </c>
      <c r="Q684" s="5">
        <f t="shared" si="161"/>
        <v>1.7647058823529411</v>
      </c>
      <c r="R684" s="5">
        <f t="shared" si="162"/>
        <v>15.022023946681815</v>
      </c>
      <c r="S684" s="5"/>
    </row>
    <row r="685" spans="1:19" x14ac:dyDescent="0.75">
      <c r="A685" s="11">
        <f t="shared" si="163"/>
        <v>148</v>
      </c>
      <c r="B685" s="15">
        <f>Comparisons!J41</f>
        <v>1.55</v>
      </c>
      <c r="C685" s="48">
        <f t="shared" si="148"/>
        <v>28.548442349530276</v>
      </c>
      <c r="D685" s="48">
        <f t="shared" si="157"/>
        <v>43.115165072129749</v>
      </c>
      <c r="E685" s="49">
        <f t="shared" si="149"/>
        <v>207.69972522993783</v>
      </c>
      <c r="F685" s="49">
        <f t="shared" si="150"/>
        <v>4.0418563672137244</v>
      </c>
      <c r="G685" s="49">
        <f t="shared" si="151"/>
        <v>240.29002394668183</v>
      </c>
      <c r="H685" s="5">
        <f t="shared" si="152"/>
        <v>4.169999999999999</v>
      </c>
      <c r="I685" s="5">
        <f t="shared" si="153"/>
        <v>0.45869999999999989</v>
      </c>
      <c r="J685" s="5">
        <f t="shared" si="154"/>
        <v>15.543325390625789</v>
      </c>
      <c r="K685" s="5">
        <f t="shared" si="164"/>
        <v>89.09907676016303</v>
      </c>
      <c r="L685" s="5">
        <f t="shared" si="155"/>
        <v>222.518</v>
      </c>
      <c r="M685" s="5">
        <f t="shared" si="156"/>
        <v>1.036</v>
      </c>
      <c r="N685" s="5">
        <f t="shared" si="158"/>
        <v>61.275973346462017</v>
      </c>
      <c r="O685" s="5">
        <f t="shared" si="159"/>
        <v>25.912275973552475</v>
      </c>
      <c r="P685" s="5">
        <f t="shared" si="160"/>
        <v>4.6442609322827177</v>
      </c>
      <c r="Q685" s="5">
        <f t="shared" si="161"/>
        <v>1.7647058823529411</v>
      </c>
      <c r="R685" s="5">
        <f t="shared" si="162"/>
        <v>15.022023946681815</v>
      </c>
      <c r="S685" s="5"/>
    </row>
    <row r="686" spans="1:19" x14ac:dyDescent="0.75">
      <c r="A686" s="11">
        <f t="shared" si="163"/>
        <v>158</v>
      </c>
      <c r="B686" s="15">
        <f>Comparisons!J42</f>
        <v>1.4</v>
      </c>
      <c r="C686" s="48">
        <f t="shared" si="148"/>
        <v>0.39622088344416273</v>
      </c>
      <c r="D686" s="48">
        <f t="shared" si="157"/>
        <v>0.59747455193262911</v>
      </c>
      <c r="E686" s="49">
        <f t="shared" si="149"/>
        <v>227.17743156872567</v>
      </c>
      <c r="F686" s="49">
        <f t="shared" si="150"/>
        <v>4.7623714945119628</v>
      </c>
      <c r="G686" s="49">
        <f t="shared" si="151"/>
        <v>232.33602394668179</v>
      </c>
      <c r="H686" s="5">
        <f t="shared" si="152"/>
        <v>4.1279999999999992</v>
      </c>
      <c r="I686" s="5">
        <f t="shared" si="153"/>
        <v>0.45407999999999993</v>
      </c>
      <c r="J686" s="5">
        <f t="shared" si="154"/>
        <v>18.110047448356379</v>
      </c>
      <c r="K686" s="5">
        <f t="shared" si="164"/>
        <v>107.20912420851941</v>
      </c>
      <c r="L686" s="5">
        <f t="shared" si="155"/>
        <v>214.56399999999996</v>
      </c>
      <c r="M686" s="5">
        <f t="shared" si="156"/>
        <v>1.1060000000000001</v>
      </c>
      <c r="N686" s="5">
        <f t="shared" si="158"/>
        <v>61.275973346462017</v>
      </c>
      <c r="O686" s="5">
        <f t="shared" si="159"/>
        <v>25.912275973552475</v>
      </c>
      <c r="P686" s="5">
        <f t="shared" si="160"/>
        <v>4.6442609322827177</v>
      </c>
      <c r="Q686" s="5">
        <f t="shared" si="161"/>
        <v>1.7647058823529411</v>
      </c>
      <c r="R686" s="5">
        <f t="shared" si="162"/>
        <v>15.022023946681815</v>
      </c>
      <c r="S686" s="5"/>
    </row>
    <row r="687" spans="1:19" x14ac:dyDescent="0.75">
      <c r="A687" s="11">
        <f t="shared" si="163"/>
        <v>168</v>
      </c>
      <c r="B687" s="15">
        <f>Comparisons!J43</f>
        <v>1.3</v>
      </c>
      <c r="C687" s="48">
        <f t="shared" si="148"/>
        <v>-25.392747451458845</v>
      </c>
      <c r="D687" s="48">
        <f t="shared" si="157"/>
        <v>-38.231834402936038</v>
      </c>
      <c r="E687" s="49">
        <f t="shared" si="149"/>
        <v>249.39580595812475</v>
      </c>
      <c r="F687" s="49">
        <f t="shared" si="150"/>
        <v>5.6169654400159308</v>
      </c>
      <c r="G687" s="49">
        <f t="shared" si="151"/>
        <v>229.62002394668184</v>
      </c>
      <c r="H687" s="5">
        <f t="shared" si="152"/>
        <v>4.0459999999999994</v>
      </c>
      <c r="I687" s="5">
        <f t="shared" si="153"/>
        <v>0.44505999999999996</v>
      </c>
      <c r="J687" s="5">
        <f t="shared" si="154"/>
        <v>21.195879038717507</v>
      </c>
      <c r="K687" s="5">
        <f t="shared" si="164"/>
        <v>128.40500324723692</v>
      </c>
      <c r="L687" s="5">
        <f t="shared" si="155"/>
        <v>211.84800000000001</v>
      </c>
      <c r="M687" s="5">
        <f t="shared" si="156"/>
        <v>1.1759999999999999</v>
      </c>
      <c r="N687" s="5">
        <f t="shared" si="158"/>
        <v>61.275973346462017</v>
      </c>
      <c r="O687" s="5">
        <f t="shared" si="159"/>
        <v>25.912275973552475</v>
      </c>
      <c r="P687" s="5">
        <f t="shared" si="160"/>
        <v>4.6442609322827177</v>
      </c>
      <c r="Q687" s="5">
        <f t="shared" si="161"/>
        <v>1.7647058823529411</v>
      </c>
      <c r="R687" s="5">
        <f t="shared" si="162"/>
        <v>15.022023946681815</v>
      </c>
      <c r="S687" s="5"/>
    </row>
    <row r="688" spans="1:19" x14ac:dyDescent="0.75">
      <c r="A688" s="11">
        <f t="shared" si="163"/>
        <v>178</v>
      </c>
      <c r="B688" s="15">
        <f>Comparisons!J44</f>
        <v>0</v>
      </c>
      <c r="C688" s="48" t="e">
        <f t="shared" si="148"/>
        <v>#DIV/0!</v>
      </c>
      <c r="D688" s="48" t="e">
        <f t="shared" si="157"/>
        <v>#DIV/0!</v>
      </c>
      <c r="E688" s="49" t="e">
        <f t="shared" si="149"/>
        <v>#DIV/0!</v>
      </c>
      <c r="F688" s="49" t="e">
        <f t="shared" si="150"/>
        <v>#DIV/0!</v>
      </c>
      <c r="G688" s="49">
        <f t="shared" si="151"/>
        <v>17.772023946681813</v>
      </c>
      <c r="H688" s="5">
        <f t="shared" si="152"/>
        <v>0</v>
      </c>
      <c r="I688" s="5">
        <f t="shared" si="153"/>
        <v>0</v>
      </c>
      <c r="J688" s="5" t="e">
        <f t="shared" si="154"/>
        <v>#DIV/0!</v>
      </c>
      <c r="K688" s="5" t="e">
        <f t="shared" si="164"/>
        <v>#DIV/0!</v>
      </c>
      <c r="L688" s="5">
        <f t="shared" si="155"/>
        <v>0</v>
      </c>
      <c r="M688" s="5">
        <f t="shared" si="156"/>
        <v>1.246</v>
      </c>
      <c r="N688" s="5">
        <f t="shared" si="158"/>
        <v>61.275973346462017</v>
      </c>
      <c r="O688" s="5">
        <f t="shared" si="159"/>
        <v>25.912275973552475</v>
      </c>
      <c r="P688" s="5">
        <f t="shared" si="160"/>
        <v>4.6442609322827177</v>
      </c>
      <c r="Q688" s="5">
        <f t="shared" si="161"/>
        <v>1.7647058823529411</v>
      </c>
      <c r="R688" s="5">
        <f t="shared" si="162"/>
        <v>15.022023946681815</v>
      </c>
      <c r="S688" s="5"/>
    </row>
    <row r="689" spans="1:19" x14ac:dyDescent="0.75">
      <c r="A689" s="11">
        <f t="shared" si="163"/>
        <v>188</v>
      </c>
      <c r="B689" s="15">
        <f>Comparisons!J45</f>
        <v>0</v>
      </c>
      <c r="C689" s="48" t="e">
        <f t="shared" si="148"/>
        <v>#DIV/0!</v>
      </c>
      <c r="D689" s="48" t="e">
        <f t="shared" si="157"/>
        <v>#DIV/0!</v>
      </c>
      <c r="E689" s="49" t="e">
        <f t="shared" si="149"/>
        <v>#DIV/0!</v>
      </c>
      <c r="F689" s="49" t="e">
        <f t="shared" si="150"/>
        <v>#DIV/0!</v>
      </c>
      <c r="G689" s="49">
        <f t="shared" si="151"/>
        <v>17.772023946681813</v>
      </c>
      <c r="H689" s="5">
        <f t="shared" si="152"/>
        <v>0</v>
      </c>
      <c r="I689" s="5">
        <f t="shared" si="153"/>
        <v>0</v>
      </c>
      <c r="J689" s="5" t="e">
        <f>I689*(C670-C669)</f>
        <v>#DIV/0!</v>
      </c>
      <c r="K689" s="5" t="e">
        <f t="shared" si="164"/>
        <v>#DIV/0!</v>
      </c>
      <c r="L689" s="5">
        <f t="shared" si="155"/>
        <v>0</v>
      </c>
      <c r="M689" s="5">
        <f t="shared" si="156"/>
        <v>1.3160000000000001</v>
      </c>
      <c r="N689" s="5">
        <f t="shared" si="158"/>
        <v>61.275973346462017</v>
      </c>
      <c r="O689" s="5">
        <f t="shared" si="159"/>
        <v>25.912275973552475</v>
      </c>
      <c r="P689" s="5">
        <f t="shared" si="160"/>
        <v>4.6442609322827177</v>
      </c>
      <c r="Q689" s="5">
        <f t="shared" si="161"/>
        <v>1.7647058823529411</v>
      </c>
      <c r="R689" s="5">
        <f t="shared" si="162"/>
        <v>15.022023946681815</v>
      </c>
      <c r="S689" s="5"/>
    </row>
    <row r="701" spans="1:19" x14ac:dyDescent="0.75">
      <c r="A701" s="1" t="s">
        <v>49</v>
      </c>
      <c r="B701" s="3"/>
      <c r="C701" s="12"/>
      <c r="D701" s="3"/>
      <c r="E701" s="1" t="s">
        <v>167</v>
      </c>
      <c r="F701" s="4"/>
      <c r="G701" s="3"/>
      <c r="H701" s="5"/>
      <c r="I701" s="3"/>
      <c r="J701" s="3"/>
      <c r="K701" s="3"/>
      <c r="L701" s="3"/>
      <c r="M701" s="3"/>
      <c r="N701" s="3"/>
      <c r="O701" s="5"/>
      <c r="P701" s="3"/>
      <c r="Q701" s="5"/>
      <c r="R701" s="5"/>
      <c r="S701" s="5"/>
    </row>
    <row r="702" spans="1:19" x14ac:dyDescent="0.75">
      <c r="A702" t="s">
        <v>13</v>
      </c>
      <c r="B702" s="61">
        <f>Comparisons!K3</f>
        <v>48</v>
      </c>
      <c r="C702" s="12" t="s">
        <v>9</v>
      </c>
      <c r="D702" s="3"/>
      <c r="E702" s="1"/>
      <c r="F702" s="4"/>
      <c r="G702" s="3"/>
      <c r="H702" s="5"/>
      <c r="I702" s="3"/>
      <c r="J702" s="3"/>
      <c r="K702" s="3"/>
      <c r="L702" s="3"/>
      <c r="M702" s="3"/>
      <c r="N702" s="3"/>
      <c r="O702" s="5"/>
      <c r="P702" s="3"/>
      <c r="Q702" s="5"/>
      <c r="R702" s="5"/>
      <c r="S702" s="5"/>
    </row>
    <row r="703" spans="1:19" x14ac:dyDescent="0.75">
      <c r="A703" t="s">
        <v>14</v>
      </c>
      <c r="B703" s="63">
        <f>Comparisons!K4</f>
        <v>65</v>
      </c>
      <c r="C703" s="12" t="s">
        <v>10</v>
      </c>
      <c r="D703" s="3"/>
      <c r="E703" s="1"/>
      <c r="F703" s="4"/>
      <c r="G703" s="3"/>
      <c r="H703" s="5"/>
      <c r="I703" s="3"/>
      <c r="J703" s="3"/>
      <c r="K703" s="3"/>
      <c r="L703" s="3"/>
      <c r="M703" s="3"/>
      <c r="N703" s="3"/>
      <c r="O703" s="5"/>
      <c r="P703" s="3"/>
      <c r="Q703" s="5"/>
      <c r="R703" s="5"/>
      <c r="S703" s="5"/>
    </row>
    <row r="704" spans="1:19" x14ac:dyDescent="0.75">
      <c r="A704" t="s">
        <v>15</v>
      </c>
      <c r="B704" s="63">
        <f>Comparisons!K5</f>
        <v>0</v>
      </c>
      <c r="C704" s="12" t="s">
        <v>10</v>
      </c>
      <c r="D704" s="3"/>
      <c r="E704" s="1"/>
      <c r="F704" s="4"/>
      <c r="G704" s="3"/>
      <c r="H704" s="5"/>
      <c r="I704" s="3"/>
      <c r="J704" s="3"/>
      <c r="K704" s="3"/>
      <c r="L704" s="3"/>
      <c r="M704" s="3"/>
      <c r="N704" s="3"/>
      <c r="O704" s="5"/>
      <c r="P704" s="3"/>
      <c r="Q704" s="5"/>
      <c r="R704" s="5"/>
      <c r="S704" s="5"/>
    </row>
    <row r="705" spans="1:19" x14ac:dyDescent="0.75">
      <c r="A705" t="s">
        <v>16</v>
      </c>
      <c r="B705" s="63">
        <f>Comparisons!K6</f>
        <v>0.4</v>
      </c>
      <c r="C705" s="12" t="s">
        <v>53</v>
      </c>
      <c r="D705" s="3"/>
      <c r="E705" s="3"/>
      <c r="F705" s="4"/>
      <c r="G705" s="3"/>
      <c r="H705" s="5"/>
      <c r="I705" s="3"/>
      <c r="J705" s="3"/>
      <c r="K705" s="3"/>
      <c r="L705" s="3"/>
      <c r="M705" s="3"/>
      <c r="N705" s="3"/>
      <c r="O705" s="5"/>
      <c r="P705" s="3"/>
      <c r="Q705" s="5"/>
      <c r="R705" s="5"/>
      <c r="S705" s="5"/>
    </row>
    <row r="706" spans="1:19" x14ac:dyDescent="0.75">
      <c r="A706" t="s">
        <v>18</v>
      </c>
      <c r="B706" s="63">
        <f>Comparisons!K7</f>
        <v>0.15</v>
      </c>
      <c r="C706" s="12" t="s">
        <v>52</v>
      </c>
      <c r="D706" s="3"/>
      <c r="E706" s="3"/>
      <c r="F706" s="4"/>
      <c r="G706" s="3"/>
      <c r="H706" s="5"/>
      <c r="I706" s="3"/>
      <c r="J706" s="3"/>
      <c r="K706" s="3"/>
      <c r="L706" s="3"/>
      <c r="M706" s="3"/>
      <c r="N706" s="3"/>
      <c r="O706" s="5"/>
      <c r="P706" s="3"/>
      <c r="Q706" s="5"/>
      <c r="R706" s="5"/>
      <c r="S706" s="5"/>
    </row>
    <row r="707" spans="1:19" x14ac:dyDescent="0.75">
      <c r="A707" s="2" t="s">
        <v>19</v>
      </c>
      <c r="B707" s="23">
        <f>B704*B705*B706</f>
        <v>0</v>
      </c>
      <c r="C707" s="13" t="s">
        <v>23</v>
      </c>
      <c r="D707" s="3"/>
      <c r="E707" s="3"/>
      <c r="F707" s="4"/>
      <c r="G707" s="3"/>
      <c r="H707" s="5"/>
      <c r="I707" s="3"/>
      <c r="J707" s="3"/>
      <c r="K707" s="3"/>
      <c r="L707" s="3"/>
      <c r="M707" s="3"/>
      <c r="N707" s="3"/>
      <c r="O707" s="5"/>
      <c r="P707" s="3"/>
      <c r="Q707" s="5"/>
      <c r="R707" s="5"/>
      <c r="S707" s="5"/>
    </row>
    <row r="708" spans="1:19" x14ac:dyDescent="0.75">
      <c r="A708" t="s">
        <v>46</v>
      </c>
      <c r="B708" s="61">
        <f>Comparisons!K8</f>
        <v>0</v>
      </c>
      <c r="C708" s="12" t="s">
        <v>10</v>
      </c>
      <c r="D708" s="3"/>
      <c r="E708" s="3"/>
      <c r="F708" s="4"/>
      <c r="G708" s="3"/>
      <c r="H708" s="5"/>
      <c r="I708" s="3"/>
      <c r="J708" s="3"/>
      <c r="K708" s="3"/>
      <c r="L708" s="3"/>
      <c r="M708" s="3"/>
      <c r="N708" s="3"/>
      <c r="O708" s="5"/>
      <c r="P708" s="3"/>
      <c r="Q708" s="5"/>
      <c r="R708" s="5"/>
      <c r="S708" s="5"/>
    </row>
    <row r="709" spans="1:19" x14ac:dyDescent="0.75">
      <c r="A709" t="s">
        <v>47</v>
      </c>
      <c r="B709" s="63">
        <f>Comparisons!K9</f>
        <v>0.2</v>
      </c>
      <c r="C709" s="12" t="s">
        <v>53</v>
      </c>
      <c r="D709" s="3"/>
      <c r="E709" s="3"/>
      <c r="F709" s="4"/>
      <c r="G709" s="3"/>
      <c r="H709" s="5"/>
      <c r="I709" s="3"/>
      <c r="J709" s="3"/>
      <c r="K709" s="3"/>
      <c r="L709" s="3"/>
      <c r="M709" s="3"/>
      <c r="N709" s="3"/>
      <c r="O709" s="5"/>
      <c r="P709" s="3"/>
      <c r="Q709" s="5"/>
      <c r="R709" s="5"/>
      <c r="S709" s="5"/>
    </row>
    <row r="710" spans="1:19" x14ac:dyDescent="0.75">
      <c r="A710" t="s">
        <v>48</v>
      </c>
      <c r="B710" s="63">
        <f>Comparisons!K10</f>
        <v>7.0000000000000007E-2</v>
      </c>
      <c r="C710" s="12" t="s">
        <v>52</v>
      </c>
      <c r="D710" s="3"/>
      <c r="E710" s="3"/>
      <c r="F710" s="4"/>
      <c r="G710" s="3"/>
      <c r="H710" s="5"/>
      <c r="I710" s="3"/>
      <c r="J710" s="3"/>
      <c r="K710" s="3"/>
      <c r="L710" s="3"/>
      <c r="M710" s="3"/>
      <c r="N710" s="3"/>
      <c r="O710" s="5"/>
      <c r="P710" s="3"/>
      <c r="Q710" s="5"/>
      <c r="R710" s="5"/>
      <c r="S710" s="5"/>
    </row>
    <row r="711" spans="1:19" x14ac:dyDescent="0.75">
      <c r="A711" s="2" t="s">
        <v>44</v>
      </c>
      <c r="B711" s="23">
        <f>B708*B709*B710</f>
        <v>0</v>
      </c>
      <c r="C711" s="13" t="s">
        <v>23</v>
      </c>
      <c r="D711" s="3"/>
      <c r="E711" s="3"/>
      <c r="F711" s="4"/>
      <c r="G711" s="3"/>
      <c r="H711" s="5"/>
      <c r="I711" s="3"/>
      <c r="J711" s="3"/>
      <c r="K711" s="3"/>
      <c r="L711" s="3"/>
      <c r="M711" s="3"/>
      <c r="N711" s="3"/>
      <c r="O711" s="5"/>
      <c r="P711" s="3"/>
      <c r="Q711" s="5"/>
      <c r="R711" s="5"/>
      <c r="S711" s="5"/>
    </row>
    <row r="712" spans="1:19" x14ac:dyDescent="0.75">
      <c r="A712" s="2" t="s">
        <v>45</v>
      </c>
      <c r="B712" s="23">
        <f>B707+B711</f>
        <v>0</v>
      </c>
      <c r="C712" s="13" t="s">
        <v>23</v>
      </c>
      <c r="D712" s="3"/>
      <c r="E712" s="3"/>
      <c r="F712" s="4"/>
      <c r="G712" s="3"/>
      <c r="H712" s="5"/>
      <c r="I712" s="3"/>
      <c r="J712" s="3"/>
      <c r="K712" s="3"/>
      <c r="L712" s="3"/>
      <c r="M712" s="3"/>
      <c r="N712" s="3"/>
      <c r="O712" s="5"/>
      <c r="P712" s="3"/>
      <c r="Q712" s="5"/>
      <c r="R712" s="5"/>
      <c r="S712" s="5"/>
    </row>
    <row r="713" spans="1:19" x14ac:dyDescent="0.75">
      <c r="A713" s="2"/>
      <c r="B713" s="20"/>
      <c r="C713" s="13"/>
      <c r="D713" s="3"/>
      <c r="E713" s="3"/>
      <c r="F713" s="4"/>
      <c r="G713" s="3"/>
      <c r="H713" s="5"/>
      <c r="I713" s="3"/>
      <c r="J713" s="3"/>
      <c r="K713" s="3"/>
      <c r="L713" s="3"/>
      <c r="M713" s="3"/>
      <c r="N713" s="3"/>
      <c r="O713" s="5"/>
      <c r="P713" s="3"/>
      <c r="Q713" s="5"/>
      <c r="R713" s="5"/>
      <c r="S713" s="5"/>
    </row>
    <row r="714" spans="1:19" x14ac:dyDescent="0.75">
      <c r="A714" s="1" t="s">
        <v>102</v>
      </c>
      <c r="B714" s="3"/>
      <c r="C714" s="12"/>
      <c r="D714" s="3"/>
      <c r="E714" s="3"/>
      <c r="F714" s="4"/>
      <c r="G714" s="3"/>
      <c r="H714" s="5"/>
      <c r="I714" s="3"/>
      <c r="J714" s="3"/>
      <c r="K714" s="3"/>
      <c r="L714" s="3"/>
      <c r="M714" s="3"/>
      <c r="N714" s="3"/>
      <c r="O714" s="5"/>
      <c r="P714" s="3"/>
      <c r="Q714" s="5"/>
      <c r="R714" s="5"/>
      <c r="S714" s="5"/>
    </row>
    <row r="715" spans="1:19" x14ac:dyDescent="0.75">
      <c r="A715" t="s">
        <v>78</v>
      </c>
      <c r="B715" s="61">
        <v>100</v>
      </c>
      <c r="C715" s="12" t="s">
        <v>79</v>
      </c>
      <c r="D715" s="3"/>
      <c r="E715" t="s">
        <v>62</v>
      </c>
      <c r="F715" s="3">
        <v>2.4</v>
      </c>
      <c r="G715" s="12" t="s">
        <v>64</v>
      </c>
      <c r="H715" s="5"/>
      <c r="I715" s="3"/>
      <c r="J715" s="3"/>
      <c r="K715" s="3"/>
      <c r="L715" s="3"/>
      <c r="M715" s="3"/>
      <c r="N715" s="3"/>
      <c r="O715" s="5"/>
      <c r="P715" s="3"/>
      <c r="Q715" s="5"/>
      <c r="R715" s="5"/>
      <c r="S715" s="5"/>
    </row>
    <row r="716" spans="1:19" x14ac:dyDescent="0.75">
      <c r="A716" t="s">
        <v>27</v>
      </c>
      <c r="B716" s="61">
        <f>Comparisons!K11</f>
        <v>175</v>
      </c>
      <c r="C716" s="12" t="s">
        <v>54</v>
      </c>
      <c r="D716" s="3"/>
      <c r="E716" t="s">
        <v>61</v>
      </c>
      <c r="F716" s="3">
        <f>IF(B721&lt;1.5,2.8,3.2)</f>
        <v>3.2</v>
      </c>
      <c r="G716" s="12" t="s">
        <v>64</v>
      </c>
      <c r="H716" s="5"/>
      <c r="I716" s="3"/>
      <c r="J716" s="3"/>
      <c r="K716" s="3"/>
      <c r="L716" s="3"/>
      <c r="M716" s="3"/>
      <c r="N716" s="3"/>
      <c r="O716" s="5"/>
      <c r="P716" s="3"/>
      <c r="Q716" s="5"/>
      <c r="R716" s="5"/>
      <c r="S716" s="5"/>
    </row>
    <row r="717" spans="1:19" x14ac:dyDescent="0.75">
      <c r="A717" t="s">
        <v>28</v>
      </c>
      <c r="B717" s="63">
        <f>Comparisons!K12</f>
        <v>4.2000000000000003E-2</v>
      </c>
      <c r="C717" s="12" t="s">
        <v>52</v>
      </c>
      <c r="D717" s="3"/>
      <c r="E717" t="s">
        <v>63</v>
      </c>
      <c r="F717" s="3">
        <f>IF(B721&lt;1.5,3.5,3.9)</f>
        <v>3.9</v>
      </c>
      <c r="G717" s="12" t="s">
        <v>64</v>
      </c>
      <c r="H717" s="5"/>
      <c r="I717" s="3"/>
      <c r="J717" s="4"/>
      <c r="K717" s="3"/>
      <c r="L717" s="3"/>
      <c r="M717" s="3"/>
      <c r="N717" s="3"/>
      <c r="O717" s="5"/>
      <c r="P717" s="3"/>
      <c r="Q717" s="5"/>
      <c r="R717" s="5"/>
      <c r="S717" s="5"/>
    </row>
    <row r="718" spans="1:19" x14ac:dyDescent="0.75">
      <c r="A718" t="s">
        <v>29</v>
      </c>
      <c r="B718" s="63">
        <f>Comparisons!K13</f>
        <v>5.7000000000000002E-2</v>
      </c>
      <c r="C718" s="12" t="s">
        <v>52</v>
      </c>
      <c r="D718" s="3"/>
      <c r="E718" t="s">
        <v>62</v>
      </c>
      <c r="F718" s="25">
        <f>B716*F715/100*B717</f>
        <v>0.17640000000000003</v>
      </c>
      <c r="G718" s="12" t="s">
        <v>55</v>
      </c>
      <c r="H718" s="5"/>
      <c r="I718" s="3"/>
      <c r="J718" s="4"/>
      <c r="K718" s="3"/>
      <c r="L718" s="3"/>
      <c r="M718" s="3"/>
      <c r="N718" s="3"/>
      <c r="O718" s="5"/>
      <c r="P718" s="3"/>
      <c r="Q718" s="5"/>
      <c r="R718" s="5"/>
      <c r="S718" s="5"/>
    </row>
    <row r="719" spans="1:19" x14ac:dyDescent="0.75">
      <c r="A719" t="s">
        <v>30</v>
      </c>
      <c r="B719" s="63">
        <f>Comparisons!K14</f>
        <v>12</v>
      </c>
      <c r="C719" s="12" t="s">
        <v>82</v>
      </c>
      <c r="D719" s="3"/>
      <c r="E719" t="s">
        <v>61</v>
      </c>
      <c r="F719" s="25">
        <f>F716/100*B716*B718</f>
        <v>0.31920000000000004</v>
      </c>
      <c r="G719" s="12" t="s">
        <v>55</v>
      </c>
      <c r="H719" s="5"/>
      <c r="I719" s="3"/>
      <c r="J719" s="4"/>
      <c r="K719" s="3"/>
      <c r="L719" s="3"/>
      <c r="M719" s="3"/>
      <c r="N719" s="3"/>
      <c r="O719" s="5"/>
      <c r="P719" s="3"/>
      <c r="Q719" s="5"/>
      <c r="R719" s="5"/>
      <c r="S719" s="5"/>
    </row>
    <row r="720" spans="1:19" x14ac:dyDescent="0.75">
      <c r="A720" t="s">
        <v>31</v>
      </c>
      <c r="B720" s="63">
        <f>Comparisons!K15</f>
        <v>94</v>
      </c>
      <c r="C720" s="12" t="s">
        <v>25</v>
      </c>
      <c r="D720" s="3"/>
      <c r="E720" t="s">
        <v>63</v>
      </c>
      <c r="F720" s="25">
        <f>B716*F717/100*B718</f>
        <v>0.38902500000000001</v>
      </c>
      <c r="G720" s="12" t="s">
        <v>55</v>
      </c>
      <c r="H720" s="5"/>
      <c r="I720" s="3"/>
      <c r="J720" s="4"/>
      <c r="K720" s="3"/>
      <c r="L720" s="3"/>
      <c r="M720" s="3"/>
      <c r="N720" s="3"/>
      <c r="O720" s="5"/>
      <c r="P720" s="3"/>
      <c r="Q720" s="5"/>
      <c r="R720" s="5"/>
      <c r="S720" s="5"/>
    </row>
    <row r="721" spans="1:19" x14ac:dyDescent="0.75">
      <c r="A721" t="s">
        <v>32</v>
      </c>
      <c r="B721" s="63">
        <f>Comparisons!K16</f>
        <v>1.9</v>
      </c>
      <c r="C721" s="12" t="s">
        <v>33</v>
      </c>
      <c r="D721" s="3"/>
      <c r="E721" t="s">
        <v>26</v>
      </c>
      <c r="F721" s="3">
        <f>(B719*30-4*7-B703)*F718</f>
        <v>47.098800000000004</v>
      </c>
      <c r="G721" s="12" t="s">
        <v>80</v>
      </c>
      <c r="H721" s="5"/>
      <c r="I721" s="3"/>
      <c r="J721" s="4"/>
      <c r="K721" s="3"/>
      <c r="L721" s="3"/>
      <c r="M721" s="3"/>
      <c r="N721" s="3"/>
      <c r="O721" s="5"/>
      <c r="P721" s="3"/>
      <c r="Q721" s="5"/>
      <c r="R721" s="5"/>
      <c r="S721" s="5"/>
    </row>
    <row r="722" spans="1:19" x14ac:dyDescent="0.75">
      <c r="A722" t="s">
        <v>60</v>
      </c>
      <c r="B722" s="63">
        <f>Comparisons!K17</f>
        <v>11</v>
      </c>
      <c r="C722" s="12" t="s">
        <v>84</v>
      </c>
      <c r="D722" s="3"/>
      <c r="E722" t="s">
        <v>65</v>
      </c>
      <c r="F722" s="3">
        <f>4*7*F719</f>
        <v>8.9376000000000015</v>
      </c>
      <c r="G722" s="12" t="s">
        <v>80</v>
      </c>
      <c r="H722" s="5"/>
      <c r="I722" s="3"/>
      <c r="J722" s="4"/>
      <c r="K722" s="3"/>
      <c r="L722" s="3"/>
      <c r="M722" s="3"/>
      <c r="N722" s="3"/>
      <c r="O722" s="5"/>
      <c r="P722" s="3"/>
      <c r="Q722" s="5"/>
      <c r="R722" s="5"/>
      <c r="S722" s="5"/>
    </row>
    <row r="723" spans="1:19" x14ac:dyDescent="0.75">
      <c r="A723" t="s">
        <v>59</v>
      </c>
      <c r="B723" s="63">
        <f>Comparisons!K18</f>
        <v>3</v>
      </c>
      <c r="C723" s="12" t="s">
        <v>85</v>
      </c>
      <c r="D723" s="3"/>
      <c r="E723" t="s">
        <v>66</v>
      </c>
      <c r="F723" s="10">
        <f>B703*F720</f>
        <v>25.286625000000001</v>
      </c>
      <c r="G723" s="12" t="s">
        <v>80</v>
      </c>
      <c r="H723" s="5"/>
      <c r="I723" s="3"/>
      <c r="J723" s="4"/>
      <c r="K723" s="3"/>
      <c r="L723" s="3"/>
      <c r="M723" s="3"/>
      <c r="N723" s="3"/>
      <c r="O723" s="5"/>
      <c r="P723" s="3"/>
      <c r="Q723" s="5"/>
      <c r="R723" s="5"/>
      <c r="S723" s="5"/>
    </row>
    <row r="724" spans="1:19" x14ac:dyDescent="0.75">
      <c r="A724" s="21" t="s">
        <v>72</v>
      </c>
      <c r="B724" s="24">
        <f>B715*B720/100*B721*(1-B722/100)*(1-B723/100)</f>
        <v>154.18538000000001</v>
      </c>
      <c r="C724" s="13" t="s">
        <v>77</v>
      </c>
      <c r="D724" s="3"/>
      <c r="E724" t="s">
        <v>56</v>
      </c>
      <c r="F724" s="3">
        <f>F721+F722+F723</f>
        <v>81.323025000000001</v>
      </c>
      <c r="G724" s="12" t="s">
        <v>98</v>
      </c>
      <c r="H724" s="5"/>
      <c r="I724" s="3"/>
      <c r="J724" s="4"/>
      <c r="K724" s="3"/>
      <c r="L724" s="3"/>
      <c r="M724" s="3"/>
      <c r="N724" s="3"/>
      <c r="O724" s="5"/>
      <c r="P724" s="3"/>
      <c r="Q724" s="5"/>
      <c r="R724" s="5"/>
      <c r="S724" s="5"/>
    </row>
    <row r="725" spans="1:19" s="19" customFormat="1" x14ac:dyDescent="0.75">
      <c r="A725" s="22" t="s">
        <v>71</v>
      </c>
      <c r="B725" s="26">
        <f>B721*B720/100</f>
        <v>1.786</v>
      </c>
      <c r="C725" s="13" t="s">
        <v>96</v>
      </c>
      <c r="D725" s="16"/>
      <c r="E725" t="s">
        <v>57</v>
      </c>
      <c r="F725" s="5">
        <f>(F718*365)*(1-B720/100)+F724*B720/100</f>
        <v>80.306803500000001</v>
      </c>
      <c r="G725" s="12" t="s">
        <v>81</v>
      </c>
      <c r="H725" s="18"/>
      <c r="I725" s="16"/>
      <c r="J725" s="17"/>
      <c r="K725" s="16"/>
      <c r="L725" s="16"/>
      <c r="M725" s="16"/>
      <c r="N725" s="16"/>
      <c r="O725" s="18"/>
      <c r="P725" s="16"/>
      <c r="Q725" s="18"/>
      <c r="R725" s="18"/>
      <c r="S725" s="18"/>
    </row>
    <row r="726" spans="1:19" x14ac:dyDescent="0.75">
      <c r="A726" s="22" t="s">
        <v>70</v>
      </c>
      <c r="B726" s="26">
        <f>B720/100*B721*(1-B722/100)*(1-B723/100)</f>
        <v>1.5418537999999999</v>
      </c>
      <c r="C726" s="13" t="s">
        <v>97</v>
      </c>
      <c r="D726" s="3"/>
      <c r="E726" s="2" t="s">
        <v>58</v>
      </c>
      <c r="F726" s="26">
        <f>F725/B726</f>
        <v>52.084577344492715</v>
      </c>
      <c r="G726" s="13" t="s">
        <v>118</v>
      </c>
      <c r="H726" s="5"/>
      <c r="I726" s="3"/>
      <c r="J726" s="3"/>
      <c r="K726" s="3"/>
      <c r="L726" s="3"/>
      <c r="M726" s="3"/>
      <c r="N726" s="3"/>
      <c r="O726" s="5"/>
      <c r="P726" s="3"/>
      <c r="Q726" s="5"/>
      <c r="R726" s="5"/>
      <c r="S726" s="5"/>
    </row>
    <row r="727" spans="1:19" x14ac:dyDescent="0.75">
      <c r="B727" s="3"/>
      <c r="C727" s="3"/>
      <c r="D727" s="3"/>
      <c r="E727" s="3"/>
      <c r="F727" s="4"/>
      <c r="G727" s="3"/>
      <c r="H727" s="5"/>
      <c r="I727" s="3"/>
      <c r="J727" s="3"/>
      <c r="K727" s="3"/>
      <c r="L727" s="3"/>
      <c r="M727" s="3"/>
      <c r="N727" s="3"/>
      <c r="O727" s="5"/>
      <c r="P727" s="3"/>
      <c r="Q727" s="5"/>
      <c r="R727" s="5"/>
      <c r="S727" s="5"/>
    </row>
    <row r="728" spans="1:19" x14ac:dyDescent="0.75">
      <c r="A728" s="1" t="s">
        <v>83</v>
      </c>
      <c r="B728" s="3"/>
      <c r="C728" s="12"/>
      <c r="D728" s="3"/>
      <c r="E728" s="3"/>
      <c r="F728" s="4"/>
      <c r="G728" s="3"/>
      <c r="H728" s="4"/>
      <c r="I728" s="3"/>
      <c r="J728" s="5"/>
      <c r="K728" s="3"/>
      <c r="L728" s="3"/>
      <c r="M728" s="3"/>
      <c r="N728" s="3"/>
      <c r="O728" s="5"/>
      <c r="P728" s="3"/>
      <c r="Q728" s="5"/>
      <c r="R728" s="5"/>
      <c r="S728" s="5"/>
    </row>
    <row r="729" spans="1:19" x14ac:dyDescent="0.75">
      <c r="A729" t="s">
        <v>36</v>
      </c>
      <c r="B729" s="61">
        <f>Comparisons!K19</f>
        <v>10</v>
      </c>
      <c r="C729" s="12" t="s">
        <v>35</v>
      </c>
      <c r="D729" s="3"/>
      <c r="E729" s="3"/>
      <c r="F729" s="4"/>
      <c r="G729" s="3"/>
      <c r="H729" s="5"/>
      <c r="I729" s="3"/>
      <c r="J729" s="3"/>
      <c r="K729" s="3"/>
      <c r="L729" s="3"/>
      <c r="M729" s="3"/>
      <c r="N729" s="3"/>
      <c r="O729" s="5"/>
      <c r="P729" s="3"/>
      <c r="Q729" s="5"/>
      <c r="R729" s="5"/>
      <c r="S729" s="5"/>
    </row>
    <row r="730" spans="1:19" x14ac:dyDescent="0.75">
      <c r="A730" t="s">
        <v>34</v>
      </c>
      <c r="B730" s="63">
        <f>Comparisons!K20</f>
        <v>0.4</v>
      </c>
      <c r="C730" s="12" t="s">
        <v>99</v>
      </c>
      <c r="D730" s="3"/>
      <c r="E730" s="3"/>
      <c r="F730" s="4"/>
      <c r="G730" s="3"/>
      <c r="H730" s="5"/>
      <c r="I730" s="3"/>
      <c r="J730" s="3"/>
      <c r="K730" s="3"/>
      <c r="L730" s="3"/>
      <c r="M730" s="3"/>
      <c r="N730" s="3"/>
      <c r="O730" s="5"/>
      <c r="P730" s="3"/>
      <c r="Q730" s="5"/>
      <c r="R730" s="5"/>
      <c r="S730" s="5"/>
    </row>
    <row r="731" spans="1:19" x14ac:dyDescent="0.75">
      <c r="A731" t="s">
        <v>100</v>
      </c>
      <c r="B731" s="63">
        <f>Comparisons!K21</f>
        <v>2.25</v>
      </c>
      <c r="C731" s="12" t="s">
        <v>99</v>
      </c>
      <c r="D731" s="3"/>
      <c r="E731" s="3"/>
      <c r="F731" s="4"/>
      <c r="G731" s="3"/>
      <c r="H731" s="5"/>
      <c r="I731" s="3"/>
      <c r="J731" s="3"/>
      <c r="K731" s="3"/>
      <c r="L731" s="3"/>
      <c r="M731" s="3"/>
      <c r="N731" s="3"/>
      <c r="O731" s="5"/>
      <c r="P731" s="3"/>
      <c r="Q731" s="5"/>
      <c r="R731" s="5"/>
      <c r="S731" s="5"/>
    </row>
    <row r="732" spans="1:19" x14ac:dyDescent="0.75">
      <c r="A732" t="s">
        <v>67</v>
      </c>
      <c r="B732" s="63">
        <f>Comparisons!K22</f>
        <v>8</v>
      </c>
      <c r="C732" s="12" t="s">
        <v>80</v>
      </c>
      <c r="D732" s="3"/>
      <c r="E732" s="3"/>
      <c r="F732" s="4"/>
      <c r="G732" s="3"/>
      <c r="H732" s="5"/>
      <c r="I732" s="3"/>
      <c r="J732" s="3"/>
      <c r="K732" s="3"/>
      <c r="L732" s="3"/>
      <c r="M732" s="3"/>
      <c r="N732" s="3"/>
      <c r="O732" s="5"/>
      <c r="P732" s="3"/>
      <c r="Q732" s="5"/>
      <c r="R732" s="5"/>
      <c r="S732" s="5"/>
    </row>
    <row r="733" spans="1:19" x14ac:dyDescent="0.75">
      <c r="A733" t="s">
        <v>101</v>
      </c>
      <c r="B733" s="63">
        <f>Comparisons!K23</f>
        <v>3</v>
      </c>
      <c r="C733" s="12" t="s">
        <v>80</v>
      </c>
      <c r="D733" s="3"/>
      <c r="E733" s="3"/>
      <c r="F733" s="4"/>
      <c r="G733" s="3"/>
      <c r="H733" s="5"/>
      <c r="I733" s="3"/>
      <c r="J733" s="3"/>
      <c r="K733" s="3"/>
      <c r="L733" s="3"/>
      <c r="M733" s="3"/>
      <c r="N733" s="3"/>
      <c r="O733" s="5"/>
      <c r="P733" s="3"/>
      <c r="Q733" s="5"/>
      <c r="R733" s="5"/>
      <c r="S733" s="5"/>
    </row>
    <row r="734" spans="1:19" x14ac:dyDescent="0.75">
      <c r="A734" t="s">
        <v>37</v>
      </c>
      <c r="B734" s="5">
        <f>B731*B729+B730*B729*(B720/100)</f>
        <v>26.259999999999998</v>
      </c>
      <c r="C734" s="12" t="s">
        <v>81</v>
      </c>
      <c r="D734" s="3"/>
      <c r="E734" s="3"/>
      <c r="F734" s="4"/>
      <c r="G734" s="3"/>
      <c r="H734" s="5"/>
      <c r="I734" s="3"/>
      <c r="J734" s="3"/>
      <c r="K734" s="3"/>
      <c r="L734" s="3"/>
      <c r="M734" s="3"/>
      <c r="N734" s="3"/>
      <c r="O734" s="5"/>
      <c r="P734" s="3"/>
      <c r="Q734" s="5"/>
      <c r="R734" s="5"/>
      <c r="S734" s="5"/>
    </row>
    <row r="735" spans="1:19" x14ac:dyDescent="0.75">
      <c r="A735" t="s">
        <v>38</v>
      </c>
      <c r="B735" s="5">
        <f>B732*B720/100+B733*(1-B720/100)</f>
        <v>7.6999999999999993</v>
      </c>
      <c r="C735" s="12" t="s">
        <v>81</v>
      </c>
      <c r="D735" s="3"/>
      <c r="E735" s="3"/>
      <c r="F735" s="4"/>
      <c r="G735" s="3"/>
      <c r="H735" s="5"/>
      <c r="I735" s="3"/>
      <c r="J735" s="3"/>
      <c r="K735" s="3"/>
      <c r="L735" s="3"/>
      <c r="M735" s="3"/>
      <c r="N735" s="3"/>
      <c r="O735" s="5"/>
      <c r="P735" s="3"/>
      <c r="Q735" s="5"/>
      <c r="R735" s="5"/>
      <c r="S735" s="5"/>
    </row>
    <row r="736" spans="1:19" x14ac:dyDescent="0.75">
      <c r="A736" t="s">
        <v>68</v>
      </c>
      <c r="B736" s="5">
        <f>SUM(B734:B735)</f>
        <v>33.959999999999994</v>
      </c>
      <c r="C736" s="12" t="s">
        <v>81</v>
      </c>
      <c r="D736" s="3"/>
      <c r="E736" s="3"/>
      <c r="F736" s="4"/>
      <c r="G736" s="3"/>
      <c r="H736" s="5"/>
      <c r="I736" s="3"/>
      <c r="J736" s="3"/>
      <c r="K736" s="3"/>
      <c r="L736" s="3"/>
      <c r="M736" s="3"/>
      <c r="N736" s="3"/>
      <c r="O736" s="5"/>
      <c r="P736" s="3"/>
      <c r="Q736" s="5"/>
      <c r="R736" s="5"/>
      <c r="S736" s="5"/>
    </row>
    <row r="737" spans="1:19" s="2" customFormat="1" x14ac:dyDescent="0.75">
      <c r="A737" s="2" t="s">
        <v>39</v>
      </c>
      <c r="B737" s="26">
        <f>B736/B726</f>
        <v>22.025434577519604</v>
      </c>
      <c r="C737" s="13" t="s">
        <v>118</v>
      </c>
      <c r="D737" s="6"/>
      <c r="E737" s="6"/>
      <c r="F737" s="7"/>
      <c r="G737" s="6"/>
      <c r="H737" s="8"/>
      <c r="I737" s="6"/>
      <c r="J737" s="6"/>
      <c r="K737" s="6"/>
      <c r="L737" s="6"/>
      <c r="M737" s="6"/>
      <c r="N737" s="6"/>
      <c r="O737" s="8"/>
      <c r="P737" s="6"/>
      <c r="Q737" s="8"/>
      <c r="R737" s="8"/>
      <c r="S737" s="8"/>
    </row>
    <row r="738" spans="1:19" s="2" customFormat="1" x14ac:dyDescent="0.75">
      <c r="B738" s="29"/>
      <c r="C738" s="13"/>
      <c r="D738" s="6"/>
      <c r="E738" s="6"/>
      <c r="F738" s="7"/>
      <c r="G738" s="6"/>
      <c r="H738" s="8"/>
      <c r="I738" s="6"/>
      <c r="J738" s="6"/>
      <c r="K738" s="6"/>
      <c r="L738" s="6"/>
      <c r="M738" s="6"/>
      <c r="N738" s="6"/>
      <c r="O738" s="8"/>
      <c r="P738" s="6"/>
      <c r="Q738" s="8"/>
      <c r="R738" s="8"/>
      <c r="S738" s="8"/>
    </row>
    <row r="739" spans="1:19" s="2" customFormat="1" x14ac:dyDescent="0.75">
      <c r="A739" s="1" t="s">
        <v>103</v>
      </c>
      <c r="B739" s="29"/>
      <c r="C739" s="13"/>
      <c r="D739" s="6"/>
      <c r="E739" s="6"/>
      <c r="F739" s="7"/>
      <c r="G739" s="6"/>
      <c r="H739" s="8"/>
      <c r="I739" s="6"/>
      <c r="J739" s="6"/>
      <c r="K739" s="6"/>
      <c r="L739" s="6"/>
      <c r="M739" s="6"/>
      <c r="N739" s="6"/>
      <c r="O739" s="8"/>
      <c r="P739" s="6"/>
      <c r="Q739" s="8"/>
      <c r="R739" s="8"/>
      <c r="S739" s="8"/>
    </row>
    <row r="740" spans="1:19" s="2" customFormat="1" x14ac:dyDescent="0.75">
      <c r="A740" s="30" t="s">
        <v>104</v>
      </c>
      <c r="B740" s="33">
        <f>Comparisons!K24</f>
        <v>15</v>
      </c>
      <c r="C740" s="32" t="s">
        <v>105</v>
      </c>
      <c r="D740" s="6"/>
      <c r="E740" s="6"/>
      <c r="F740" s="7"/>
      <c r="G740" s="6"/>
      <c r="H740" s="8"/>
      <c r="I740" s="6"/>
      <c r="J740" s="6"/>
      <c r="K740" s="6"/>
      <c r="L740" s="6"/>
      <c r="M740" s="6"/>
      <c r="N740" s="6"/>
      <c r="O740" s="8"/>
      <c r="P740" s="6"/>
      <c r="Q740" s="8"/>
      <c r="R740" s="8"/>
      <c r="S740" s="8"/>
    </row>
    <row r="741" spans="1:19" s="2" customFormat="1" x14ac:dyDescent="0.75">
      <c r="A741" s="30" t="s">
        <v>106</v>
      </c>
      <c r="B741" s="33">
        <f>Comparisons!K25</f>
        <v>6.5000000000000002E-2</v>
      </c>
      <c r="C741" s="32" t="s">
        <v>52</v>
      </c>
      <c r="D741" s="6"/>
      <c r="E741" s="6"/>
      <c r="F741" s="7"/>
      <c r="G741" s="6"/>
      <c r="H741" s="8"/>
      <c r="I741" s="6"/>
      <c r="J741" s="6"/>
      <c r="K741" s="6"/>
      <c r="L741" s="6"/>
      <c r="M741" s="6"/>
      <c r="N741" s="6"/>
      <c r="O741" s="8"/>
      <c r="P741" s="6"/>
      <c r="Q741" s="8"/>
      <c r="R741" s="8"/>
      <c r="S741" s="8"/>
    </row>
    <row r="742" spans="1:19" s="2" customFormat="1" x14ac:dyDescent="0.75">
      <c r="A742" s="30" t="s">
        <v>110</v>
      </c>
      <c r="B742" s="33">
        <f>Comparisons!K26</f>
        <v>115</v>
      </c>
      <c r="C742" s="30" t="s">
        <v>54</v>
      </c>
      <c r="D742" s="6"/>
      <c r="E742" s="6"/>
      <c r="F742" s="7"/>
      <c r="G742" s="6"/>
      <c r="H742" s="8"/>
      <c r="I742" s="6"/>
      <c r="J742" s="6"/>
      <c r="K742" s="6"/>
      <c r="L742" s="6"/>
      <c r="M742" s="6"/>
      <c r="N742" s="6"/>
      <c r="O742" s="8"/>
      <c r="P742" s="6"/>
      <c r="Q742" s="8"/>
      <c r="R742" s="8"/>
      <c r="S742" s="8"/>
    </row>
    <row r="743" spans="1:19" s="2" customFormat="1" x14ac:dyDescent="0.75">
      <c r="A743" s="30" t="s">
        <v>107</v>
      </c>
      <c r="B743" s="33">
        <f>Comparisons!K27</f>
        <v>230</v>
      </c>
      <c r="C743" s="32" t="s">
        <v>10</v>
      </c>
      <c r="D743" s="6"/>
      <c r="E743" s="6"/>
      <c r="F743" s="7"/>
      <c r="G743" s="6"/>
      <c r="H743" s="8"/>
      <c r="I743" s="6"/>
      <c r="J743" s="6"/>
      <c r="K743" s="6"/>
      <c r="L743" s="6"/>
      <c r="M743" s="6"/>
      <c r="N743" s="6"/>
      <c r="O743" s="8"/>
      <c r="P743" s="6"/>
      <c r="Q743" s="8"/>
      <c r="R743" s="8"/>
      <c r="S743" s="8"/>
    </row>
    <row r="744" spans="1:19" s="2" customFormat="1" x14ac:dyDescent="0.75">
      <c r="A744" s="30" t="s">
        <v>108</v>
      </c>
      <c r="B744" s="31">
        <f>0.032*(B742-B702)/(LN(B742/B702)/(B743-B703))*B741</f>
        <v>26.317478616268733</v>
      </c>
      <c r="C744" s="32" t="s">
        <v>109</v>
      </c>
      <c r="D744" s="6"/>
      <c r="E744" s="6"/>
      <c r="F744" s="7"/>
      <c r="G744" s="6"/>
      <c r="H744" s="8"/>
      <c r="I744" s="6"/>
      <c r="J744" s="6"/>
      <c r="K744" s="6"/>
      <c r="L744" s="6"/>
      <c r="M744" s="6"/>
      <c r="N744" s="6"/>
      <c r="O744" s="8"/>
      <c r="P744" s="6"/>
      <c r="Q744" s="8"/>
      <c r="R744" s="8"/>
      <c r="S744" s="8"/>
    </row>
    <row r="745" spans="1:19" s="2" customFormat="1" x14ac:dyDescent="0.75">
      <c r="A745" s="41" t="s">
        <v>108</v>
      </c>
      <c r="B745" s="26">
        <f>B744*(B740/100)</f>
        <v>3.9476217924403096</v>
      </c>
      <c r="C745" s="13" t="s">
        <v>119</v>
      </c>
      <c r="D745" s="6"/>
      <c r="E745" s="6"/>
      <c r="F745" s="7"/>
      <c r="G745" s="6"/>
      <c r="H745" s="8"/>
      <c r="I745" s="6"/>
      <c r="J745" s="6"/>
      <c r="K745" s="6"/>
      <c r="L745" s="6"/>
      <c r="M745" s="6"/>
      <c r="N745" s="6"/>
      <c r="O745" s="8"/>
      <c r="P745" s="6"/>
      <c r="Q745" s="8"/>
      <c r="R745" s="8"/>
      <c r="S745" s="8"/>
    </row>
    <row r="746" spans="1:19" s="36" customFormat="1" x14ac:dyDescent="0.75">
      <c r="A746" s="41"/>
      <c r="B746" s="29"/>
      <c r="C746" s="37"/>
      <c r="D746" s="42"/>
      <c r="E746" s="42"/>
      <c r="F746" s="43"/>
      <c r="G746" s="42"/>
      <c r="H746" s="29"/>
      <c r="I746" s="42"/>
      <c r="J746" s="42"/>
      <c r="K746" s="42"/>
      <c r="L746" s="42"/>
      <c r="M746" s="42"/>
      <c r="N746" s="42"/>
      <c r="O746" s="29"/>
      <c r="P746" s="42"/>
      <c r="Q746" s="29"/>
      <c r="R746" s="29"/>
      <c r="S746" s="29"/>
    </row>
    <row r="747" spans="1:19" s="2" customFormat="1" x14ac:dyDescent="0.75">
      <c r="A747" s="40" t="s">
        <v>114</v>
      </c>
      <c r="B747" s="44">
        <f>Comparisons!K28</f>
        <v>10</v>
      </c>
      <c r="C747" s="32" t="s">
        <v>109</v>
      </c>
      <c r="D747" s="6"/>
      <c r="E747" s="6"/>
      <c r="F747" s="7"/>
      <c r="G747" s="6"/>
      <c r="H747" s="8"/>
      <c r="I747" s="6"/>
      <c r="J747" s="6"/>
      <c r="K747" s="6"/>
      <c r="L747" s="6"/>
      <c r="M747" s="6"/>
      <c r="N747" s="6"/>
      <c r="O747" s="8"/>
      <c r="P747" s="6"/>
      <c r="Q747" s="8"/>
      <c r="R747" s="8"/>
      <c r="S747" s="8"/>
    </row>
    <row r="748" spans="1:19" s="2" customFormat="1" x14ac:dyDescent="0.75">
      <c r="A748" s="41" t="s">
        <v>114</v>
      </c>
      <c r="B748" s="26">
        <f>B747*(B740/100)</f>
        <v>1.5</v>
      </c>
      <c r="C748" s="13" t="s">
        <v>119</v>
      </c>
      <c r="D748" s="6"/>
      <c r="E748" s="6"/>
      <c r="F748" s="7"/>
      <c r="G748" s="6"/>
      <c r="H748" s="8"/>
      <c r="I748" s="6"/>
      <c r="J748" s="6"/>
      <c r="K748" s="6"/>
      <c r="L748" s="6"/>
      <c r="M748" s="6"/>
      <c r="N748" s="6"/>
      <c r="O748" s="8"/>
      <c r="P748" s="6"/>
      <c r="Q748" s="8"/>
      <c r="R748" s="8"/>
      <c r="S748" s="8"/>
    </row>
    <row r="749" spans="1:19" s="2" customFormat="1" x14ac:dyDescent="0.75">
      <c r="A749" s="41"/>
      <c r="B749" s="29"/>
      <c r="C749" s="13"/>
      <c r="D749" s="6"/>
      <c r="E749" s="6"/>
      <c r="F749" s="7"/>
      <c r="G749" s="6"/>
      <c r="H749" s="8"/>
      <c r="I749" s="6"/>
      <c r="J749" s="6"/>
      <c r="K749" s="6"/>
      <c r="L749" s="6"/>
      <c r="M749" s="6"/>
      <c r="N749" s="6"/>
      <c r="O749" s="8"/>
      <c r="P749" s="6"/>
      <c r="Q749" s="8"/>
      <c r="R749" s="8"/>
      <c r="S749" s="8"/>
    </row>
    <row r="750" spans="1:19" s="2" customFormat="1" x14ac:dyDescent="0.75">
      <c r="A750" s="38" t="s">
        <v>111</v>
      </c>
      <c r="B750" s="34">
        <f>Comparisons!K29</f>
        <v>0.75</v>
      </c>
      <c r="C750" s="39" t="s">
        <v>112</v>
      </c>
      <c r="D750" s="6"/>
      <c r="E750" s="6"/>
      <c r="F750" s="7"/>
      <c r="G750" s="6"/>
      <c r="H750" s="8"/>
      <c r="I750" s="6"/>
      <c r="J750" s="6"/>
      <c r="K750" s="6"/>
      <c r="L750" s="6"/>
      <c r="M750" s="6"/>
      <c r="N750" s="6"/>
      <c r="O750" s="8"/>
      <c r="P750" s="6"/>
      <c r="Q750" s="8"/>
      <c r="R750" s="8"/>
      <c r="S750" s="8"/>
    </row>
    <row r="751" spans="1:19" s="2" customFormat="1" x14ac:dyDescent="0.75">
      <c r="A751" s="41" t="s">
        <v>113</v>
      </c>
      <c r="B751" s="45">
        <f>B750*B716*B740/100/B726</f>
        <v>12.768720354679543</v>
      </c>
      <c r="C751" s="13" t="s">
        <v>119</v>
      </c>
      <c r="D751" s="6"/>
      <c r="E751" s="6"/>
      <c r="F751" s="7"/>
      <c r="G751" s="6"/>
      <c r="H751" s="8"/>
      <c r="I751" s="6"/>
      <c r="J751" s="6"/>
      <c r="K751" s="6"/>
      <c r="L751" s="6"/>
      <c r="M751" s="6"/>
      <c r="N751" s="6"/>
      <c r="O751" s="8"/>
      <c r="P751" s="6"/>
      <c r="Q751" s="8"/>
      <c r="R751" s="8"/>
      <c r="S751" s="8"/>
    </row>
    <row r="753" spans="1:19" x14ac:dyDescent="0.75">
      <c r="A753" s="1" t="s">
        <v>88</v>
      </c>
      <c r="B753" s="3"/>
      <c r="C753" s="3"/>
      <c r="D753" s="90" t="s">
        <v>127</v>
      </c>
      <c r="E753" s="90"/>
      <c r="F753" s="90"/>
      <c r="G753" s="86" t="s">
        <v>123</v>
      </c>
      <c r="H753" s="86"/>
      <c r="I753" s="86"/>
      <c r="J753" s="86"/>
      <c r="K753" s="87" t="s">
        <v>124</v>
      </c>
      <c r="L753" s="88"/>
      <c r="M753" s="88"/>
      <c r="N753" s="88"/>
      <c r="O753" s="89"/>
      <c r="P753" s="91" t="s">
        <v>130</v>
      </c>
      <c r="Q753" s="92"/>
      <c r="R753" s="92"/>
      <c r="S753" s="93"/>
    </row>
    <row r="754" spans="1:19" x14ac:dyDescent="0.75">
      <c r="A754" s="3" t="s">
        <v>0</v>
      </c>
      <c r="B754" s="3" t="s">
        <v>40</v>
      </c>
      <c r="C754" s="3" t="s">
        <v>6</v>
      </c>
      <c r="D754" s="3" t="s">
        <v>3</v>
      </c>
      <c r="E754" s="3" t="s">
        <v>2</v>
      </c>
      <c r="F754" s="3" t="s">
        <v>5</v>
      </c>
      <c r="G754" s="3" t="s">
        <v>8</v>
      </c>
      <c r="H754" s="3" t="s">
        <v>69</v>
      </c>
      <c r="I754" s="3" t="s">
        <v>126</v>
      </c>
      <c r="J754" s="3" t="s">
        <v>125</v>
      </c>
      <c r="K754" s="3" t="s">
        <v>50</v>
      </c>
      <c r="L754" s="3" t="s">
        <v>22</v>
      </c>
      <c r="M754" s="3" t="s">
        <v>7</v>
      </c>
      <c r="N754" s="3" t="s">
        <v>51</v>
      </c>
      <c r="O754" s="3" t="s">
        <v>21</v>
      </c>
      <c r="P754" s="3" t="s">
        <v>8</v>
      </c>
      <c r="Q754" s="3" t="s">
        <v>69</v>
      </c>
      <c r="R754" s="3" t="s">
        <v>126</v>
      </c>
      <c r="S754" s="3" t="s">
        <v>125</v>
      </c>
    </row>
    <row r="755" spans="1:19" x14ac:dyDescent="0.75">
      <c r="A755" s="3" t="s">
        <v>24</v>
      </c>
      <c r="B755" s="3" t="s">
        <v>25</v>
      </c>
      <c r="C755" s="3" t="s">
        <v>10</v>
      </c>
      <c r="D755" s="3" t="s">
        <v>12</v>
      </c>
      <c r="E755" s="3" t="s">
        <v>17</v>
      </c>
      <c r="F755" s="3" t="s">
        <v>52</v>
      </c>
      <c r="G755" s="3" t="s">
        <v>23</v>
      </c>
      <c r="H755" s="3" t="s">
        <v>86</v>
      </c>
      <c r="I755" s="3" t="s">
        <v>23</v>
      </c>
      <c r="J755" s="3" t="s">
        <v>87</v>
      </c>
      <c r="K755" s="3" t="s">
        <v>76</v>
      </c>
      <c r="L755" s="3" t="s">
        <v>76</v>
      </c>
      <c r="M755" s="3" t="s">
        <v>23</v>
      </c>
      <c r="N755" s="3" t="s">
        <v>23</v>
      </c>
      <c r="O755" s="3" t="s">
        <v>25</v>
      </c>
      <c r="P755" s="3" t="s">
        <v>23</v>
      </c>
      <c r="Q755" s="3" t="s">
        <v>86</v>
      </c>
      <c r="R755" s="3" t="s">
        <v>23</v>
      </c>
      <c r="S755" s="3" t="s">
        <v>23</v>
      </c>
    </row>
    <row r="756" spans="1:19" x14ac:dyDescent="0.75">
      <c r="A756" s="5">
        <f>B702</f>
        <v>48</v>
      </c>
      <c r="B756" s="5">
        <f>A756/$B$716*100</f>
        <v>27.428571428571431</v>
      </c>
      <c r="C756" s="5">
        <f>B703</f>
        <v>65</v>
      </c>
      <c r="D756" s="67">
        <f>Finishing!D4</f>
        <v>0.7995812722283262</v>
      </c>
      <c r="E756" s="67">
        <f>Finishing!E4</f>
        <v>2.9890645053996687</v>
      </c>
      <c r="F756" s="67">
        <f>Finishing!F4</f>
        <v>0.115</v>
      </c>
      <c r="G756" s="67">
        <f>Finishing!G4</f>
        <v>0.85</v>
      </c>
      <c r="H756" s="67">
        <f>Finishing!H4</f>
        <v>0.3</v>
      </c>
      <c r="I756" s="67">
        <f>Finishing!I4</f>
        <v>1</v>
      </c>
      <c r="J756" s="67">
        <f>Finishing!J4</f>
        <v>2E-3</v>
      </c>
      <c r="K756" s="67">
        <f>Finishing!K4</f>
        <v>2</v>
      </c>
      <c r="L756" s="67">
        <f>Finishing!L4</f>
        <v>4</v>
      </c>
      <c r="M756" s="67">
        <f>Finishing!M4</f>
        <v>0</v>
      </c>
      <c r="N756" s="67">
        <f>Finishing!N4</f>
        <v>2</v>
      </c>
      <c r="O756" s="67">
        <f>Finishing!O4</f>
        <v>5</v>
      </c>
      <c r="P756" s="5">
        <f>G756</f>
        <v>0.85</v>
      </c>
      <c r="Q756" s="5">
        <f>H756</f>
        <v>0.3</v>
      </c>
      <c r="R756" s="5">
        <f>I756</f>
        <v>1</v>
      </c>
      <c r="S756" s="5">
        <f>J756*(C757-C756)*$B$729</f>
        <v>0.25013092095394712</v>
      </c>
    </row>
    <row r="757" spans="1:19" x14ac:dyDescent="0.75">
      <c r="A757" s="5">
        <f>A756+10</f>
        <v>58</v>
      </c>
      <c r="B757" s="5">
        <f t="shared" ref="B757:B770" si="165">A757/$B$716*100</f>
        <v>33.142857142857139</v>
      </c>
      <c r="C757" s="5">
        <f>C756+(A757-A756)/D756</f>
        <v>77.506546047697356</v>
      </c>
      <c r="D757" s="67">
        <f>Finishing!D5</f>
        <v>0.80548945537627681</v>
      </c>
      <c r="E757" s="67">
        <f>Finishing!E5</f>
        <v>3.4115902842158219</v>
      </c>
      <c r="F757" s="67">
        <f>Finishing!F5</f>
        <v>0.115</v>
      </c>
      <c r="G757" s="67">
        <f>Finishing!G5</f>
        <v>0</v>
      </c>
      <c r="H757" s="67">
        <f>Finishing!H5</f>
        <v>0.3</v>
      </c>
      <c r="I757" s="67">
        <f>Finishing!I5</f>
        <v>0.4</v>
      </c>
      <c r="J757" s="67">
        <f>Finishing!J5</f>
        <v>2E-3</v>
      </c>
      <c r="K757" s="67">
        <f>Finishing!K5</f>
        <v>2.1</v>
      </c>
      <c r="L757" s="67">
        <f>Finishing!L5</f>
        <v>4</v>
      </c>
      <c r="M757" s="67">
        <f>Finishing!M5</f>
        <v>0</v>
      </c>
      <c r="N757" s="67">
        <f>Finishing!N5</f>
        <v>2</v>
      </c>
      <c r="O757" s="67">
        <f>Finishing!O5</f>
        <v>5</v>
      </c>
      <c r="P757" s="5">
        <f>P756+G757</f>
        <v>0.85</v>
      </c>
      <c r="Q757" s="5">
        <f>H757+Q756</f>
        <v>0.6</v>
      </c>
      <c r="R757" s="5">
        <f>I757+R756</f>
        <v>1.4</v>
      </c>
      <c r="S757" s="5">
        <f>J757*(C758-C757)*$B$729+S756</f>
        <v>0.49842715706863572</v>
      </c>
    </row>
    <row r="758" spans="1:19" x14ac:dyDescent="0.75">
      <c r="A758" s="5">
        <f t="shared" ref="A758:A770" si="166">A757+10</f>
        <v>68</v>
      </c>
      <c r="B758" s="5">
        <f t="shared" si="165"/>
        <v>38.857142857142854</v>
      </c>
      <c r="C758" s="5">
        <f t="shared" ref="C758:C770" si="167">C757+(A758-A757)/D757</f>
        <v>89.921357853431786</v>
      </c>
      <c r="D758" s="67">
        <f>Finishing!D6</f>
        <v>0.77446414795503105</v>
      </c>
      <c r="E758" s="67">
        <f>Finishing!E6</f>
        <v>3.95886627947305</v>
      </c>
      <c r="F758" s="67">
        <f>Finishing!F6</f>
        <v>0.115</v>
      </c>
      <c r="G758" s="67">
        <f>Finishing!G6</f>
        <v>0</v>
      </c>
      <c r="H758" s="67">
        <f>Finishing!H6</f>
        <v>0.2</v>
      </c>
      <c r="I758" s="67">
        <f>Finishing!I6</f>
        <v>0.4</v>
      </c>
      <c r="J758" s="67">
        <f>Finishing!J6</f>
        <v>2E-3</v>
      </c>
      <c r="K758" s="67">
        <f>Finishing!K6</f>
        <v>2.2000000000000002</v>
      </c>
      <c r="L758" s="67">
        <f>Finishing!L6</f>
        <v>4.5</v>
      </c>
      <c r="M758" s="67">
        <f>Finishing!M6</f>
        <v>0</v>
      </c>
      <c r="N758" s="67">
        <f>Finishing!N6</f>
        <v>2</v>
      </c>
      <c r="O758" s="67">
        <f>Finishing!O6</f>
        <v>5</v>
      </c>
      <c r="P758" s="5">
        <f t="shared" ref="P758:P770" si="168">P757+G758</f>
        <v>0.85</v>
      </c>
      <c r="Q758" s="5">
        <f t="shared" ref="Q758:Q770" si="169">H758+Q757</f>
        <v>0.8</v>
      </c>
      <c r="R758" s="5">
        <f t="shared" ref="R758:R770" si="170">I758+R757</f>
        <v>1.7999999999999998</v>
      </c>
      <c r="S758" s="5">
        <f t="shared" ref="S758:S769" si="171">J758*(C759-C758)*$B$729+S757</f>
        <v>0.75667022813667562</v>
      </c>
    </row>
    <row r="759" spans="1:19" x14ac:dyDescent="0.75">
      <c r="A759" s="5">
        <f t="shared" si="166"/>
        <v>78</v>
      </c>
      <c r="B759" s="5">
        <f t="shared" si="165"/>
        <v>44.571428571428569</v>
      </c>
      <c r="C759" s="5">
        <f t="shared" si="167"/>
        <v>102.83351140683378</v>
      </c>
      <c r="D759" s="67">
        <f>Finishing!D7</f>
        <v>0.72062550635879374</v>
      </c>
      <c r="E759" s="67">
        <f>Finishing!E7</f>
        <v>4.6404130446293825</v>
      </c>
      <c r="F759" s="67">
        <f>Finishing!F7</f>
        <v>0.115</v>
      </c>
      <c r="G759" s="67">
        <f>Finishing!G7</f>
        <v>0</v>
      </c>
      <c r="H759" s="67">
        <f>Finishing!H7</f>
        <v>0.2</v>
      </c>
      <c r="I759" s="67">
        <f>Finishing!I7</f>
        <v>0.4</v>
      </c>
      <c r="J759" s="67">
        <f>Finishing!J7</f>
        <v>2E-3</v>
      </c>
      <c r="K759" s="67">
        <f>Finishing!K7</f>
        <v>2.2999999999999998</v>
      </c>
      <c r="L759" s="67">
        <f>Finishing!L7</f>
        <v>4.5</v>
      </c>
      <c r="M759" s="67">
        <f>Finishing!M7</f>
        <v>0</v>
      </c>
      <c r="N759" s="67">
        <f>Finishing!N7</f>
        <v>2</v>
      </c>
      <c r="O759" s="67">
        <f>Finishing!O7</f>
        <v>5</v>
      </c>
      <c r="P759" s="5">
        <f t="shared" si="168"/>
        <v>0.85</v>
      </c>
      <c r="Q759" s="5">
        <f t="shared" si="169"/>
        <v>1</v>
      </c>
      <c r="R759" s="5">
        <f t="shared" si="170"/>
        <v>2.1999999999999997</v>
      </c>
      <c r="S759" s="5">
        <f t="shared" si="171"/>
        <v>1.0342068934853228</v>
      </c>
    </row>
    <row r="760" spans="1:19" x14ac:dyDescent="0.75">
      <c r="A760" s="5">
        <f t="shared" si="166"/>
        <v>88</v>
      </c>
      <c r="B760" s="5">
        <f t="shared" si="165"/>
        <v>50.285714285714292</v>
      </c>
      <c r="C760" s="5">
        <f t="shared" si="167"/>
        <v>116.71034467426614</v>
      </c>
      <c r="D760" s="67">
        <f>Finishing!D8</f>
        <v>0.65537759149894059</v>
      </c>
      <c r="E760" s="67">
        <f>Finishing!E8</f>
        <v>5.4655515331359776</v>
      </c>
      <c r="F760" s="67">
        <f>Finishing!F8</f>
        <v>0.115</v>
      </c>
      <c r="G760" s="67">
        <f>Finishing!G8</f>
        <v>0</v>
      </c>
      <c r="H760" s="67">
        <f>Finishing!H8</f>
        <v>0.15</v>
      </c>
      <c r="I760" s="67">
        <f>Finishing!I8</f>
        <v>0.4</v>
      </c>
      <c r="J760" s="67">
        <f>Finishing!J8</f>
        <v>2E-3</v>
      </c>
      <c r="K760" s="67">
        <f>Finishing!K8</f>
        <v>2.4</v>
      </c>
      <c r="L760" s="67">
        <f>Finishing!L8</f>
        <v>5</v>
      </c>
      <c r="M760" s="67">
        <f>Finishing!M8</f>
        <v>0</v>
      </c>
      <c r="N760" s="67">
        <f>Finishing!N8</f>
        <v>2</v>
      </c>
      <c r="O760" s="67">
        <f>Finishing!O8</f>
        <v>4</v>
      </c>
      <c r="P760" s="5">
        <f t="shared" si="168"/>
        <v>0.85</v>
      </c>
      <c r="Q760" s="5">
        <f t="shared" si="169"/>
        <v>1.1499999999999999</v>
      </c>
      <c r="R760" s="5">
        <f t="shared" si="170"/>
        <v>2.5999999999999996</v>
      </c>
      <c r="S760" s="5">
        <f t="shared" si="171"/>
        <v>1.33937448327516</v>
      </c>
    </row>
    <row r="761" spans="1:19" x14ac:dyDescent="0.75">
      <c r="A761" s="5">
        <f t="shared" si="166"/>
        <v>98</v>
      </c>
      <c r="B761" s="5">
        <f t="shared" si="165"/>
        <v>56.000000000000007</v>
      </c>
      <c r="C761" s="5">
        <f t="shared" si="167"/>
        <v>131.968724163758</v>
      </c>
      <c r="D761" s="67">
        <f>Finishing!D9</f>
        <v>0.58663869534177293</v>
      </c>
      <c r="E761" s="67">
        <f>Finishing!E9</f>
        <v>6.4434890333952319</v>
      </c>
      <c r="F761" s="67">
        <f>Finishing!F9</f>
        <v>0.11</v>
      </c>
      <c r="G761" s="67">
        <f>Finishing!G9</f>
        <v>0</v>
      </c>
      <c r="H761" s="67">
        <f>Finishing!H9</f>
        <v>0.15</v>
      </c>
      <c r="I761" s="67">
        <f>Finishing!I9</f>
        <v>0.4</v>
      </c>
      <c r="J761" s="67">
        <f>Finishing!J9</f>
        <v>2E-3</v>
      </c>
      <c r="K761" s="67">
        <f>Finishing!K9</f>
        <v>2.5</v>
      </c>
      <c r="L761" s="67">
        <f>Finishing!L9</f>
        <v>5</v>
      </c>
      <c r="M761" s="67">
        <f>Finishing!M9</f>
        <v>0</v>
      </c>
      <c r="N761" s="67">
        <f>Finishing!N9</f>
        <v>2</v>
      </c>
      <c r="O761" s="67">
        <f>Finishing!O9</f>
        <v>4</v>
      </c>
      <c r="P761" s="5">
        <f t="shared" si="168"/>
        <v>0.85</v>
      </c>
      <c r="Q761" s="5">
        <f t="shared" si="169"/>
        <v>1.2999999999999998</v>
      </c>
      <c r="R761" s="5">
        <f t="shared" si="170"/>
        <v>2.9999999999999996</v>
      </c>
      <c r="S761" s="5">
        <f t="shared" si="171"/>
        <v>1.6802998289574476</v>
      </c>
    </row>
    <row r="762" spans="1:19" x14ac:dyDescent="0.75">
      <c r="A762" s="5">
        <f t="shared" si="166"/>
        <v>108</v>
      </c>
      <c r="B762" s="5">
        <f t="shared" si="165"/>
        <v>61.714285714285708</v>
      </c>
      <c r="C762" s="5">
        <f t="shared" si="167"/>
        <v>149.01499144787238</v>
      </c>
      <c r="D762" s="67">
        <f>Finishing!D10</f>
        <v>0.51923926932535602</v>
      </c>
      <c r="E762" s="67">
        <f>Finishing!E10</f>
        <v>7.5841721392078352</v>
      </c>
      <c r="F762" s="67">
        <f>Finishing!F10</f>
        <v>0.11</v>
      </c>
      <c r="G762" s="67">
        <f>Finishing!G10</f>
        <v>0.85</v>
      </c>
      <c r="H762" s="67">
        <f>Finishing!H10</f>
        <v>0.15</v>
      </c>
      <c r="I762" s="67">
        <f>Finishing!I10</f>
        <v>0.4</v>
      </c>
      <c r="J762" s="67">
        <f>Finishing!J10</f>
        <v>2E-3</v>
      </c>
      <c r="K762" s="67">
        <f>Finishing!K10</f>
        <v>2.6</v>
      </c>
      <c r="L762" s="67">
        <f>Finishing!L10</f>
        <v>5.5</v>
      </c>
      <c r="M762" s="67">
        <f>Finishing!M10</f>
        <v>0</v>
      </c>
      <c r="N762" s="67">
        <f>Finishing!N10</f>
        <v>2</v>
      </c>
      <c r="O762" s="67">
        <f>Finishing!O10</f>
        <v>4</v>
      </c>
      <c r="P762" s="5">
        <f t="shared" si="168"/>
        <v>1.7</v>
      </c>
      <c r="Q762" s="5">
        <f t="shared" si="169"/>
        <v>1.4499999999999997</v>
      </c>
      <c r="R762" s="5">
        <f t="shared" si="170"/>
        <v>3.3999999999999995</v>
      </c>
      <c r="S762" s="5">
        <f t="shared" si="171"/>
        <v>2.0654787085515478</v>
      </c>
    </row>
    <row r="763" spans="1:19" x14ac:dyDescent="0.75">
      <c r="A763" s="5">
        <f t="shared" si="166"/>
        <v>118</v>
      </c>
      <c r="B763" s="5">
        <f t="shared" si="165"/>
        <v>67.428571428571431</v>
      </c>
      <c r="C763" s="5">
        <f t="shared" si="167"/>
        <v>168.27393542757738</v>
      </c>
      <c r="D763" s="67">
        <f>Finishing!D11</f>
        <v>0.45573186334741117</v>
      </c>
      <c r="E763" s="67">
        <f>Finishing!E11</f>
        <v>8.8999701934557311</v>
      </c>
      <c r="F763" s="67">
        <f>Finishing!F11</f>
        <v>0.11</v>
      </c>
      <c r="G763" s="67">
        <f>Finishing!G11</f>
        <v>0</v>
      </c>
      <c r="H763" s="67">
        <f>Finishing!H11</f>
        <v>0.15</v>
      </c>
      <c r="I763" s="67">
        <f>Finishing!I11</f>
        <v>0.4</v>
      </c>
      <c r="J763" s="67">
        <f>Finishing!J11</f>
        <v>2E-3</v>
      </c>
      <c r="K763" s="67">
        <f>Finishing!K11</f>
        <v>2.7</v>
      </c>
      <c r="L763" s="67">
        <f>Finishing!L11</f>
        <v>5.5</v>
      </c>
      <c r="M763" s="67">
        <f>Finishing!M11</f>
        <v>0</v>
      </c>
      <c r="N763" s="67">
        <f>Finishing!N11</f>
        <v>2</v>
      </c>
      <c r="O763" s="67">
        <f>Finishing!O11</f>
        <v>4</v>
      </c>
      <c r="P763" s="5">
        <f t="shared" si="168"/>
        <v>1.7</v>
      </c>
      <c r="Q763" s="5">
        <f t="shared" si="169"/>
        <v>1.5999999999999996</v>
      </c>
      <c r="R763" s="5">
        <f t="shared" si="170"/>
        <v>3.7999999999999994</v>
      </c>
      <c r="S763" s="5">
        <f t="shared" si="171"/>
        <v>2.5043332545799371</v>
      </c>
    </row>
    <row r="764" spans="1:19" x14ac:dyDescent="0.75">
      <c r="A764" s="5">
        <f t="shared" si="166"/>
        <v>128</v>
      </c>
      <c r="B764" s="5">
        <f t="shared" si="165"/>
        <v>73.142857142857139</v>
      </c>
      <c r="C764" s="5">
        <f t="shared" si="167"/>
        <v>190.21666272899685</v>
      </c>
      <c r="D764" s="67">
        <f>Finishing!D12</f>
        <v>0.39717641305340173</v>
      </c>
      <c r="E764" s="67">
        <f>Finishing!E12</f>
        <v>10.408473071748519</v>
      </c>
      <c r="F764" s="67">
        <f>Finishing!F12</f>
        <v>0.11</v>
      </c>
      <c r="G764" s="67">
        <f>Finishing!G12</f>
        <v>0</v>
      </c>
      <c r="H764" s="67">
        <f>Finishing!H12</f>
        <v>0.15</v>
      </c>
      <c r="I764" s="67">
        <f>Finishing!I12</f>
        <v>0.4</v>
      </c>
      <c r="J764" s="67">
        <f>Finishing!J12</f>
        <v>2E-3</v>
      </c>
      <c r="K764" s="67">
        <f>Finishing!K12</f>
        <v>2.8</v>
      </c>
      <c r="L764" s="67">
        <f>Finishing!L12</f>
        <v>6</v>
      </c>
      <c r="M764" s="67">
        <f>Finishing!M12</f>
        <v>0</v>
      </c>
      <c r="N764" s="67">
        <f>Finishing!N12</f>
        <v>2</v>
      </c>
      <c r="O764" s="67">
        <f>Finishing!O12</f>
        <v>4</v>
      </c>
      <c r="P764" s="5">
        <f t="shared" si="168"/>
        <v>1.7</v>
      </c>
      <c r="Q764" s="5">
        <f t="shared" si="169"/>
        <v>1.7499999999999996</v>
      </c>
      <c r="R764" s="5">
        <f t="shared" si="170"/>
        <v>4.1999999999999993</v>
      </c>
      <c r="S764" s="5">
        <f t="shared" si="171"/>
        <v>3.0078878298943312</v>
      </c>
    </row>
    <row r="765" spans="1:19" x14ac:dyDescent="0.75">
      <c r="A765" s="5">
        <f t="shared" si="166"/>
        <v>138</v>
      </c>
      <c r="B765" s="5">
        <f t="shared" si="165"/>
        <v>78.857142857142861</v>
      </c>
      <c r="C765" s="5">
        <f t="shared" si="167"/>
        <v>215.39439149471656</v>
      </c>
      <c r="D765" s="67">
        <f>Finishing!D13</f>
        <v>0.34374155492040259</v>
      </c>
      <c r="E765" s="67">
        <f>Finishing!E13</f>
        <v>12.137025449151981</v>
      </c>
      <c r="F765" s="67">
        <f>Finishing!F13</f>
        <v>0.11</v>
      </c>
      <c r="G765" s="67">
        <f>Finishing!G13</f>
        <v>0</v>
      </c>
      <c r="H765" s="67">
        <f>Finishing!H13</f>
        <v>0.15</v>
      </c>
      <c r="I765" s="67">
        <f>Finishing!I13</f>
        <v>0.4</v>
      </c>
      <c r="J765" s="67">
        <f>Finishing!J13</f>
        <v>2E-3</v>
      </c>
      <c r="K765" s="67">
        <f>Finishing!K13</f>
        <v>2.9</v>
      </c>
      <c r="L765" s="67">
        <f>Finishing!L13</f>
        <v>6</v>
      </c>
      <c r="M765" s="67">
        <f>Finishing!M13</f>
        <v>0</v>
      </c>
      <c r="N765" s="67">
        <f>Finishing!N13</f>
        <v>2.75</v>
      </c>
      <c r="O765" s="67">
        <f>Finishing!O13</f>
        <v>3</v>
      </c>
      <c r="P765" s="5">
        <f t="shared" si="168"/>
        <v>1.7</v>
      </c>
      <c r="Q765" s="5">
        <f t="shared" si="169"/>
        <v>1.8999999999999995</v>
      </c>
      <c r="R765" s="5">
        <f t="shared" si="170"/>
        <v>4.5999999999999996</v>
      </c>
      <c r="S765" s="5">
        <f t="shared" si="171"/>
        <v>3.5897203058843594</v>
      </c>
    </row>
    <row r="766" spans="1:19" x14ac:dyDescent="0.75">
      <c r="A766" s="5">
        <f t="shared" si="166"/>
        <v>148</v>
      </c>
      <c r="B766" s="5">
        <f t="shared" si="165"/>
        <v>84.571428571428569</v>
      </c>
      <c r="C766" s="5">
        <f t="shared" si="167"/>
        <v>244.48601529421796</v>
      </c>
      <c r="D766" s="67">
        <f>Finishing!D14</f>
        <v>0.29511059472295603</v>
      </c>
      <c r="E766" s="67">
        <f>Finishing!E14</f>
        <v>14.130295809659806</v>
      </c>
      <c r="F766" s="67">
        <f>Finishing!F14</f>
        <v>0.11</v>
      </c>
      <c r="G766" s="67">
        <f>Finishing!G14</f>
        <v>0</v>
      </c>
      <c r="H766" s="67">
        <f>Finishing!H14</f>
        <v>0.15</v>
      </c>
      <c r="I766" s="67">
        <f>Finishing!I14</f>
        <v>0.4</v>
      </c>
      <c r="J766" s="67">
        <f>Finishing!J14</f>
        <v>2E-3</v>
      </c>
      <c r="K766" s="67">
        <f>Finishing!K14</f>
        <v>3</v>
      </c>
      <c r="L766" s="67">
        <f>Finishing!L14</f>
        <v>6.5</v>
      </c>
      <c r="M766" s="67">
        <f>Finishing!M14</f>
        <v>3.5</v>
      </c>
      <c r="N766" s="67">
        <f>Finishing!N14</f>
        <v>2.75</v>
      </c>
      <c r="O766" s="67">
        <f>Finishing!O14</f>
        <v>3</v>
      </c>
      <c r="P766" s="5">
        <f t="shared" si="168"/>
        <v>1.7</v>
      </c>
      <c r="Q766" s="5">
        <f t="shared" si="169"/>
        <v>2.0499999999999994</v>
      </c>
      <c r="R766" s="5">
        <f t="shared" si="170"/>
        <v>5</v>
      </c>
      <c r="S766" s="5">
        <f t="shared" si="171"/>
        <v>4.2674323351246386</v>
      </c>
    </row>
    <row r="767" spans="1:19" x14ac:dyDescent="0.75">
      <c r="A767" s="5">
        <f t="shared" si="166"/>
        <v>158</v>
      </c>
      <c r="B767" s="5">
        <f t="shared" si="165"/>
        <v>90.285714285714278</v>
      </c>
      <c r="C767" s="5">
        <f t="shared" si="167"/>
        <v>278.3716167562319</v>
      </c>
      <c r="D767" s="67">
        <f>Finishing!D15</f>
        <v>0.25073374395891568</v>
      </c>
      <c r="E767" s="67">
        <f>Finishing!E15</f>
        <v>16.463679498505787</v>
      </c>
      <c r="F767" s="67">
        <f>Finishing!F15</f>
        <v>0.11</v>
      </c>
      <c r="G767" s="67">
        <f>Finishing!G15</f>
        <v>0</v>
      </c>
      <c r="H767" s="67">
        <f>Finishing!H15</f>
        <v>0.15</v>
      </c>
      <c r="I767" s="67">
        <f>Finishing!I15</f>
        <v>0.4</v>
      </c>
      <c r="J767" s="67">
        <f>Finishing!J15</f>
        <v>2E-3</v>
      </c>
      <c r="K767" s="67">
        <f>Finishing!K15</f>
        <v>3.1</v>
      </c>
      <c r="L767" s="67">
        <f>Finishing!L15</f>
        <v>6.5</v>
      </c>
      <c r="M767" s="67">
        <f>Finishing!M15</f>
        <v>3.5</v>
      </c>
      <c r="N767" s="67">
        <f>Finishing!N15</f>
        <v>2.75</v>
      </c>
      <c r="O767" s="67">
        <f>Finishing!O15</f>
        <v>3</v>
      </c>
      <c r="P767" s="5">
        <f t="shared" si="168"/>
        <v>1.7</v>
      </c>
      <c r="Q767" s="5">
        <f t="shared" si="169"/>
        <v>2.1999999999999993</v>
      </c>
      <c r="R767" s="5">
        <f t="shared" si="170"/>
        <v>5.4</v>
      </c>
      <c r="S767" s="5">
        <f t="shared" si="171"/>
        <v>5.0650912255561211</v>
      </c>
    </row>
    <row r="768" spans="1:19" x14ac:dyDescent="0.75">
      <c r="A768" s="5">
        <f t="shared" si="166"/>
        <v>168</v>
      </c>
      <c r="B768" s="5">
        <f t="shared" si="165"/>
        <v>96</v>
      </c>
      <c r="C768" s="5">
        <f t="shared" si="167"/>
        <v>318.25456127780603</v>
      </c>
      <c r="D768" s="67">
        <f>Finishing!D16</f>
        <v>0.20997477820430568</v>
      </c>
      <c r="E768" s="67">
        <f>Finishing!E16</f>
        <v>19.268980944288639</v>
      </c>
      <c r="F768" s="67">
        <f>Finishing!F16</f>
        <v>0.11</v>
      </c>
      <c r="G768" s="67">
        <f>Finishing!G16</f>
        <v>0</v>
      </c>
      <c r="H768" s="67">
        <f>Finishing!H16</f>
        <v>0.15</v>
      </c>
      <c r="I768" s="67">
        <f>Finishing!I16</f>
        <v>0.4</v>
      </c>
      <c r="J768" s="67">
        <f>Finishing!J16</f>
        <v>2E-3</v>
      </c>
      <c r="K768" s="67">
        <f>Finishing!K16</f>
        <v>3.2</v>
      </c>
      <c r="L768" s="67">
        <f>Finishing!L16</f>
        <v>6</v>
      </c>
      <c r="M768" s="67">
        <f>Finishing!M16</f>
        <v>3.5</v>
      </c>
      <c r="N768" s="67">
        <f>Finishing!N16</f>
        <v>2.75</v>
      </c>
      <c r="O768" s="67">
        <f>Finishing!O16</f>
        <v>3</v>
      </c>
      <c r="P768" s="5">
        <f t="shared" si="168"/>
        <v>1.7</v>
      </c>
      <c r="Q768" s="5">
        <f t="shared" si="169"/>
        <v>2.3499999999999992</v>
      </c>
      <c r="R768" s="5">
        <f t="shared" si="170"/>
        <v>5.8000000000000007</v>
      </c>
      <c r="S768" s="5">
        <f t="shared" si="171"/>
        <v>6.017586576237715</v>
      </c>
    </row>
    <row r="769" spans="1:19" x14ac:dyDescent="0.75">
      <c r="A769" s="5">
        <f t="shared" si="166"/>
        <v>178</v>
      </c>
      <c r="B769" s="5">
        <f t="shared" si="165"/>
        <v>101.71428571428571</v>
      </c>
      <c r="C769" s="5">
        <f t="shared" si="167"/>
        <v>365.87932881188573</v>
      </c>
      <c r="D769" s="67">
        <f>Finishing!D17</f>
        <v>0</v>
      </c>
      <c r="E769" s="67">
        <f>Finishing!E17</f>
        <v>0</v>
      </c>
      <c r="F769" s="67">
        <f>Finishing!F17</f>
        <v>0.11</v>
      </c>
      <c r="G769" s="67">
        <f>Finishing!G17</f>
        <v>0</v>
      </c>
      <c r="H769" s="67">
        <f>Finishing!H17</f>
        <v>0.15</v>
      </c>
      <c r="I769" s="67">
        <f>Finishing!I17</f>
        <v>0.4</v>
      </c>
      <c r="J769" s="67">
        <f>Finishing!J17</f>
        <v>2E-3</v>
      </c>
      <c r="K769" s="67">
        <f>Finishing!K17</f>
        <v>3.3</v>
      </c>
      <c r="L769" s="67">
        <f>Finishing!L17</f>
        <v>6</v>
      </c>
      <c r="M769" s="67">
        <f>Finishing!M17</f>
        <v>3.5</v>
      </c>
      <c r="N769" s="67">
        <f>Finishing!N17</f>
        <v>2.75</v>
      </c>
      <c r="O769" s="67">
        <f>Finishing!O17</f>
        <v>3</v>
      </c>
      <c r="P769" s="5">
        <f t="shared" si="168"/>
        <v>1.7</v>
      </c>
      <c r="Q769" s="5">
        <f t="shared" si="169"/>
        <v>2.4999999999999991</v>
      </c>
      <c r="R769" s="5">
        <f t="shared" si="170"/>
        <v>6.2000000000000011</v>
      </c>
      <c r="S769" s="5" t="e">
        <f t="shared" si="171"/>
        <v>#DIV/0!</v>
      </c>
    </row>
    <row r="770" spans="1:19" x14ac:dyDescent="0.75">
      <c r="A770" s="5">
        <f t="shared" si="166"/>
        <v>188</v>
      </c>
      <c r="B770" s="5">
        <f t="shared" si="165"/>
        <v>107.42857142857143</v>
      </c>
      <c r="C770" s="5" t="e">
        <f t="shared" si="167"/>
        <v>#DIV/0!</v>
      </c>
      <c r="D770" s="67">
        <f>Finishing!D18</f>
        <v>0</v>
      </c>
      <c r="E770" s="67">
        <f>Finishing!E18</f>
        <v>0</v>
      </c>
      <c r="F770" s="67">
        <f>Finishing!F18</f>
        <v>0.11</v>
      </c>
      <c r="G770" s="67">
        <f>Finishing!G18</f>
        <v>0</v>
      </c>
      <c r="H770" s="67">
        <f>Finishing!H18</f>
        <v>0.15</v>
      </c>
      <c r="I770" s="67">
        <f>Finishing!I18</f>
        <v>0.4</v>
      </c>
      <c r="J770" s="67">
        <f>Finishing!J18</f>
        <v>2E-3</v>
      </c>
      <c r="K770" s="67">
        <f>Finishing!K18</f>
        <v>3.4</v>
      </c>
      <c r="L770" s="67">
        <f>Finishing!L18</f>
        <v>6</v>
      </c>
      <c r="M770" s="67">
        <f>Finishing!M18</f>
        <v>3.5</v>
      </c>
      <c r="N770" s="67">
        <f>Finishing!N18</f>
        <v>2.75</v>
      </c>
      <c r="O770" s="67">
        <f>Finishing!O18</f>
        <v>3</v>
      </c>
      <c r="P770" s="5">
        <f t="shared" si="168"/>
        <v>1.7</v>
      </c>
      <c r="Q770" s="5">
        <f t="shared" si="169"/>
        <v>2.649999999999999</v>
      </c>
      <c r="R770" s="5">
        <f t="shared" si="170"/>
        <v>6.6000000000000014</v>
      </c>
      <c r="S770" s="5" t="e">
        <f>J770*(C770-C769)*$B$729+S769</f>
        <v>#DIV/0!</v>
      </c>
    </row>
    <row r="772" spans="1:19" x14ac:dyDescent="0.75">
      <c r="A772" s="1" t="s">
        <v>89</v>
      </c>
      <c r="B772" s="3"/>
      <c r="C772" s="3"/>
      <c r="D772" s="3"/>
      <c r="E772" s="3"/>
      <c r="F772" s="4"/>
      <c r="G772" s="3"/>
      <c r="H772" s="5"/>
      <c r="I772" s="3"/>
      <c r="J772" s="3" t="s">
        <v>128</v>
      </c>
      <c r="K772" s="3"/>
      <c r="L772" s="3"/>
      <c r="M772" s="3"/>
      <c r="N772" s="3"/>
      <c r="O772" s="5"/>
      <c r="P772" s="3"/>
      <c r="Q772" s="5"/>
      <c r="R772" s="5"/>
      <c r="S772" s="5"/>
    </row>
    <row r="773" spans="1:19" x14ac:dyDescent="0.75">
      <c r="A773" s="3" t="s">
        <v>0</v>
      </c>
      <c r="B773" s="3" t="s">
        <v>1</v>
      </c>
      <c r="C773" s="3" t="s">
        <v>90</v>
      </c>
      <c r="D773" s="3" t="s">
        <v>90</v>
      </c>
      <c r="E773" s="3" t="s">
        <v>91</v>
      </c>
      <c r="F773" s="3" t="s">
        <v>91</v>
      </c>
      <c r="G773" s="3" t="s">
        <v>92</v>
      </c>
      <c r="H773" s="3" t="s">
        <v>4</v>
      </c>
      <c r="I773" s="4" t="s">
        <v>5</v>
      </c>
      <c r="J773" s="3" t="s">
        <v>5</v>
      </c>
      <c r="K773" s="5" t="s">
        <v>129</v>
      </c>
      <c r="L773" s="3" t="s">
        <v>20</v>
      </c>
      <c r="M773" s="3" t="s">
        <v>122</v>
      </c>
      <c r="N773" s="3" t="s">
        <v>94</v>
      </c>
      <c r="O773" s="3" t="s">
        <v>95</v>
      </c>
      <c r="P773" s="5" t="s">
        <v>115</v>
      </c>
      <c r="Q773" s="5" t="s">
        <v>116</v>
      </c>
      <c r="R773" s="5" t="s">
        <v>113</v>
      </c>
      <c r="S773" s="5"/>
    </row>
    <row r="774" spans="1:19" x14ac:dyDescent="0.75">
      <c r="A774" s="3" t="s">
        <v>24</v>
      </c>
      <c r="B774" s="3" t="s">
        <v>11</v>
      </c>
      <c r="C774" s="3" t="s">
        <v>76</v>
      </c>
      <c r="D774" s="3" t="s">
        <v>174</v>
      </c>
      <c r="E774" s="3" t="s">
        <v>76</v>
      </c>
      <c r="F774" s="3" t="s">
        <v>93</v>
      </c>
      <c r="G774" s="3" t="s">
        <v>76</v>
      </c>
      <c r="H774" s="3" t="s">
        <v>73</v>
      </c>
      <c r="I774" s="4" t="s">
        <v>74</v>
      </c>
      <c r="J774" s="3" t="s">
        <v>75</v>
      </c>
      <c r="K774" s="5" t="s">
        <v>76</v>
      </c>
      <c r="L774" s="3" t="s">
        <v>76</v>
      </c>
      <c r="M774" s="3" t="s">
        <v>76</v>
      </c>
      <c r="N774" s="3" t="s">
        <v>120</v>
      </c>
      <c r="O774" s="3" t="s">
        <v>121</v>
      </c>
      <c r="P774" s="3" t="s">
        <v>117</v>
      </c>
      <c r="Q774" s="3" t="s">
        <v>117</v>
      </c>
      <c r="R774" s="3" t="s">
        <v>117</v>
      </c>
      <c r="S774" s="5"/>
    </row>
    <row r="775" spans="1:19" x14ac:dyDescent="0.75">
      <c r="A775" s="11">
        <f>B702</f>
        <v>48</v>
      </c>
      <c r="B775" s="15">
        <f>Comparisons!K31</f>
        <v>2.4</v>
      </c>
      <c r="C775" s="48">
        <f>G775-E775-F775</f>
        <v>20.693848396157637</v>
      </c>
      <c r="D775" s="48">
        <f>C775*$B$726*(1-Q756/100)</f>
        <v>31.811168119880836</v>
      </c>
      <c r="E775" s="49">
        <f t="shared" ref="E775:E789" si="172">K775+M775+P756+R756+S756+K756+L756+M756+(N775+O775+P775+Q775)</f>
        <v>105.47077123681372</v>
      </c>
      <c r="F775" s="49">
        <f t="shared" ref="F775:F789" si="173">(K775+P756+R756+S756+M756+(N775+O775+P775+Q775))*(Q756/100)</f>
        <v>0.29740431371044118</v>
      </c>
      <c r="G775" s="49">
        <f t="shared" ref="G775:G789" si="174">L775+N756+R775</f>
        <v>126.4620239466818</v>
      </c>
      <c r="H775" s="5">
        <f t="shared" ref="H775:H789" si="175">D756*E756</f>
        <v>2.3899999999999997</v>
      </c>
      <c r="I775" s="5">
        <f t="shared" ref="I775:I789" si="176">H775*F756</f>
        <v>0.27484999999999998</v>
      </c>
      <c r="J775" s="5">
        <f t="shared" ref="J775:J788" si="177">I775*(C757-C756)</f>
        <v>3.437424181209618</v>
      </c>
      <c r="K775" s="5">
        <f>$B$212+J775</f>
        <v>3.437424181209618</v>
      </c>
      <c r="L775" s="5">
        <f t="shared" ref="L775:L789" si="178">A775*(1-O756/100)*B775</f>
        <v>109.43999999999998</v>
      </c>
      <c r="M775" s="5">
        <f t="shared" ref="M775:M789" si="179">0.007*A775</f>
        <v>0.33600000000000002</v>
      </c>
      <c r="N775" s="5">
        <f>$F$726/(1-$B$740/100)</f>
        <v>61.275973346462017</v>
      </c>
      <c r="O775" s="5">
        <f>$B$737/(1-$B$740/100)</f>
        <v>25.912275973552475</v>
      </c>
      <c r="P775" s="5">
        <f>$B$745/(1-$B$740/100)</f>
        <v>4.6442609322827177</v>
      </c>
      <c r="Q775" s="5">
        <f>$B$748/(1-$B$740/100)</f>
        <v>1.7647058823529411</v>
      </c>
      <c r="R775" s="5">
        <f>$B$751/(1-$B$740/100)</f>
        <v>15.022023946681815</v>
      </c>
      <c r="S775" s="5"/>
    </row>
    <row r="776" spans="1:19" x14ac:dyDescent="0.75">
      <c r="A776" s="11">
        <f>A775+10</f>
        <v>58</v>
      </c>
      <c r="B776" s="15">
        <f>Comparisons!K32</f>
        <v>2.2999999999999998</v>
      </c>
      <c r="C776" s="48">
        <f t="shared" ref="C776:C789" si="180">G776-E776-F776</f>
        <v>32.917389269106529</v>
      </c>
      <c r="D776" s="48">
        <f t="shared" ref="D776:D789" si="181">C776*$B$726*(1-Q757/100)</f>
        <v>50.449278920267211</v>
      </c>
      <c r="E776" s="49">
        <f t="shared" si="172"/>
        <v>110.2123962997766</v>
      </c>
      <c r="F776" s="49">
        <f t="shared" si="173"/>
        <v>0.62223837779865965</v>
      </c>
      <c r="G776" s="49">
        <f t="shared" si="174"/>
        <v>143.75202394668179</v>
      </c>
      <c r="H776" s="5">
        <f t="shared" si="175"/>
        <v>2.7479999999999998</v>
      </c>
      <c r="I776" s="5">
        <f t="shared" si="176"/>
        <v>0.31601999999999997</v>
      </c>
      <c r="J776" s="5">
        <f t="shared" si="177"/>
        <v>3.9233288268481945</v>
      </c>
      <c r="K776" s="5">
        <f t="shared" ref="K776:K789" si="182">J776+K775</f>
        <v>7.360753008057813</v>
      </c>
      <c r="L776" s="5">
        <f t="shared" si="178"/>
        <v>126.72999999999998</v>
      </c>
      <c r="M776" s="5">
        <f t="shared" si="179"/>
        <v>0.40600000000000003</v>
      </c>
      <c r="N776" s="5">
        <f t="shared" ref="N776:N789" si="183">$F$726/(1-$B$740/100)</f>
        <v>61.275973346462017</v>
      </c>
      <c r="O776" s="5">
        <f t="shared" ref="O776:O789" si="184">$B$737/(1-$B$740/100)</f>
        <v>25.912275973552475</v>
      </c>
      <c r="P776" s="5">
        <f t="shared" ref="P776:P789" si="185">$B$745/(1-$B$740/100)</f>
        <v>4.6442609322827177</v>
      </c>
      <c r="Q776" s="5">
        <f t="shared" ref="Q776:Q789" si="186">$B$748/(1-$B$740/100)</f>
        <v>1.7647058823529411</v>
      </c>
      <c r="R776" s="5">
        <f t="shared" ref="R776:R789" si="187">$B$751/(1-$B$740/100)</f>
        <v>15.022023946681815</v>
      </c>
      <c r="S776" s="5"/>
    </row>
    <row r="777" spans="1:19" x14ac:dyDescent="0.75">
      <c r="A777" s="11">
        <f t="shared" ref="A777:A789" si="188">A776+10</f>
        <v>68</v>
      </c>
      <c r="B777" s="15">
        <f>Comparisons!K33</f>
        <v>2.25</v>
      </c>
      <c r="C777" s="48">
        <f t="shared" si="180"/>
        <v>45.407349669705269</v>
      </c>
      <c r="D777" s="48">
        <f t="shared" si="181"/>
        <v>69.451402679074505</v>
      </c>
      <c r="E777" s="49">
        <f t="shared" si="172"/>
        <v>116.09333559223865</v>
      </c>
      <c r="F777" s="49">
        <f t="shared" si="173"/>
        <v>0.87133868473790921</v>
      </c>
      <c r="G777" s="49">
        <f t="shared" si="174"/>
        <v>162.37202394668182</v>
      </c>
      <c r="H777" s="5">
        <f t="shared" si="175"/>
        <v>3.0659999999999994</v>
      </c>
      <c r="I777" s="5">
        <f t="shared" si="176"/>
        <v>0.35258999999999996</v>
      </c>
      <c r="J777" s="5">
        <f t="shared" si="177"/>
        <v>4.5526962213940081</v>
      </c>
      <c r="K777" s="5">
        <f t="shared" si="182"/>
        <v>11.913449229451821</v>
      </c>
      <c r="L777" s="5">
        <f t="shared" si="178"/>
        <v>145.35</v>
      </c>
      <c r="M777" s="5">
        <f t="shared" si="179"/>
        <v>0.47600000000000003</v>
      </c>
      <c r="N777" s="5">
        <f t="shared" si="183"/>
        <v>61.275973346462017</v>
      </c>
      <c r="O777" s="5">
        <f t="shared" si="184"/>
        <v>25.912275973552475</v>
      </c>
      <c r="P777" s="5">
        <f t="shared" si="185"/>
        <v>4.6442609322827177</v>
      </c>
      <c r="Q777" s="5">
        <f t="shared" si="186"/>
        <v>1.7647058823529411</v>
      </c>
      <c r="R777" s="5">
        <f t="shared" si="187"/>
        <v>15.022023946681815</v>
      </c>
      <c r="S777" s="5"/>
    </row>
    <row r="778" spans="1:19" x14ac:dyDescent="0.75">
      <c r="A778" s="11">
        <f t="shared" si="188"/>
        <v>78</v>
      </c>
      <c r="B778" s="15">
        <f>Comparisons!K34</f>
        <v>2.15</v>
      </c>
      <c r="C778" s="48">
        <f t="shared" si="180"/>
        <v>52.91036321518159</v>
      </c>
      <c r="D778" s="48">
        <f t="shared" si="181"/>
        <v>80.764244136880876</v>
      </c>
      <c r="E778" s="49">
        <f t="shared" si="172"/>
        <v>122.27734725891109</v>
      </c>
      <c r="F778" s="49">
        <f t="shared" si="173"/>
        <v>1.149313472589111</v>
      </c>
      <c r="G778" s="49">
        <f t="shared" si="174"/>
        <v>176.3370239466818</v>
      </c>
      <c r="H778" s="5">
        <f t="shared" si="175"/>
        <v>3.3440000000000007</v>
      </c>
      <c r="I778" s="5">
        <f t="shared" si="176"/>
        <v>0.38456000000000012</v>
      </c>
      <c r="J778" s="5">
        <f t="shared" si="177"/>
        <v>5.33647500132379</v>
      </c>
      <c r="K778" s="5">
        <f t="shared" si="182"/>
        <v>17.249924230775612</v>
      </c>
      <c r="L778" s="5">
        <f t="shared" si="178"/>
        <v>159.31499999999997</v>
      </c>
      <c r="M778" s="5">
        <f t="shared" si="179"/>
        <v>0.54600000000000004</v>
      </c>
      <c r="N778" s="5">
        <f t="shared" si="183"/>
        <v>61.275973346462017</v>
      </c>
      <c r="O778" s="5">
        <f t="shared" si="184"/>
        <v>25.912275973552475</v>
      </c>
      <c r="P778" s="5">
        <f t="shared" si="185"/>
        <v>4.6442609322827177</v>
      </c>
      <c r="Q778" s="5">
        <f t="shared" si="186"/>
        <v>1.7647058823529411</v>
      </c>
      <c r="R778" s="5">
        <f t="shared" si="187"/>
        <v>15.022023946681815</v>
      </c>
      <c r="S778" s="5"/>
    </row>
    <row r="779" spans="1:19" x14ac:dyDescent="0.75">
      <c r="A779" s="11">
        <f t="shared" si="188"/>
        <v>88</v>
      </c>
      <c r="B779" s="15">
        <f>Comparisons!K35</f>
        <v>2.0499999999999998</v>
      </c>
      <c r="C779" s="48">
        <f t="shared" si="180"/>
        <v>58.866022995088684</v>
      </c>
      <c r="D779" s="48">
        <f t="shared" si="181"/>
        <v>89.719029031537417</v>
      </c>
      <c r="E779" s="49">
        <f t="shared" si="172"/>
        <v>129.93789911180733</v>
      </c>
      <c r="F779" s="49">
        <f t="shared" si="173"/>
        <v>1.4021018397857841</v>
      </c>
      <c r="G779" s="49">
        <f t="shared" si="174"/>
        <v>190.2060239466818</v>
      </c>
      <c r="H779" s="5">
        <f t="shared" si="175"/>
        <v>3.5819999999999994</v>
      </c>
      <c r="I779" s="5">
        <f t="shared" si="176"/>
        <v>0.41192999999999996</v>
      </c>
      <c r="J779" s="5">
        <f t="shared" si="177"/>
        <v>6.2853842631063808</v>
      </c>
      <c r="K779" s="5">
        <f t="shared" si="182"/>
        <v>23.535308493881992</v>
      </c>
      <c r="L779" s="5">
        <f t="shared" si="178"/>
        <v>173.18399999999997</v>
      </c>
      <c r="M779" s="5">
        <f t="shared" si="179"/>
        <v>0.61599999999999999</v>
      </c>
      <c r="N779" s="5">
        <f t="shared" si="183"/>
        <v>61.275973346462017</v>
      </c>
      <c r="O779" s="5">
        <f t="shared" si="184"/>
        <v>25.912275973552475</v>
      </c>
      <c r="P779" s="5">
        <f t="shared" si="185"/>
        <v>4.6442609322827177</v>
      </c>
      <c r="Q779" s="5">
        <f t="shared" si="186"/>
        <v>1.7647058823529411</v>
      </c>
      <c r="R779" s="5">
        <f t="shared" si="187"/>
        <v>15.022023946681815</v>
      </c>
      <c r="S779" s="5"/>
    </row>
    <row r="780" spans="1:19" x14ac:dyDescent="0.75">
      <c r="A780" s="11">
        <f t="shared" si="188"/>
        <v>98</v>
      </c>
      <c r="B780" s="15">
        <f>Comparisons!K36</f>
        <v>1.95</v>
      </c>
      <c r="C780" s="48">
        <f t="shared" si="180"/>
        <v>60.854602941332544</v>
      </c>
      <c r="D780" s="48">
        <f t="shared" si="181"/>
        <v>92.609125082281153</v>
      </c>
      <c r="E780" s="49">
        <f t="shared" si="172"/>
        <v>137.93666239422436</v>
      </c>
      <c r="F780" s="49">
        <f t="shared" si="173"/>
        <v>1.6867586111249162</v>
      </c>
      <c r="G780" s="49">
        <f t="shared" si="174"/>
        <v>200.47802394668182</v>
      </c>
      <c r="H780" s="5">
        <f t="shared" si="175"/>
        <v>3.7800000000000002</v>
      </c>
      <c r="I780" s="5">
        <f t="shared" si="176"/>
        <v>0.4158</v>
      </c>
      <c r="J780" s="5">
        <f t="shared" si="177"/>
        <v>7.0878379367347586</v>
      </c>
      <c r="K780" s="5">
        <f t="shared" si="182"/>
        <v>30.62314643061675</v>
      </c>
      <c r="L780" s="5">
        <f t="shared" si="178"/>
        <v>183.45599999999999</v>
      </c>
      <c r="M780" s="5">
        <f t="shared" si="179"/>
        <v>0.68600000000000005</v>
      </c>
      <c r="N780" s="5">
        <f t="shared" si="183"/>
        <v>61.275973346462017</v>
      </c>
      <c r="O780" s="5">
        <f t="shared" si="184"/>
        <v>25.912275973552475</v>
      </c>
      <c r="P780" s="5">
        <f t="shared" si="185"/>
        <v>4.6442609322827177</v>
      </c>
      <c r="Q780" s="5">
        <f t="shared" si="186"/>
        <v>1.7647058823529411</v>
      </c>
      <c r="R780" s="5">
        <f t="shared" si="187"/>
        <v>15.022023946681815</v>
      </c>
      <c r="S780" s="5"/>
    </row>
    <row r="781" spans="1:19" x14ac:dyDescent="0.75">
      <c r="A781" s="11">
        <f t="shared" si="188"/>
        <v>108</v>
      </c>
      <c r="B781" s="15">
        <f>Comparisons!K37</f>
        <v>1.85</v>
      </c>
      <c r="C781" s="48">
        <f t="shared" si="180"/>
        <v>58.219531075644021</v>
      </c>
      <c r="D781" s="48">
        <f t="shared" si="181"/>
        <v>88.464398147463413</v>
      </c>
      <c r="E781" s="49">
        <f t="shared" si="172"/>
        <v>148.58443062694707</v>
      </c>
      <c r="F781" s="49">
        <f t="shared" si="173"/>
        <v>2.0260622440907321</v>
      </c>
      <c r="G781" s="49">
        <f t="shared" si="174"/>
        <v>208.83002394668182</v>
      </c>
      <c r="H781" s="5">
        <f t="shared" si="175"/>
        <v>3.9379999999999988</v>
      </c>
      <c r="I781" s="5">
        <f t="shared" si="176"/>
        <v>0.4331799999999999</v>
      </c>
      <c r="J781" s="5">
        <f t="shared" si="177"/>
        <v>8.3425893531286146</v>
      </c>
      <c r="K781" s="5">
        <f t="shared" si="182"/>
        <v>38.965735783745366</v>
      </c>
      <c r="L781" s="5">
        <f t="shared" si="178"/>
        <v>191.80799999999999</v>
      </c>
      <c r="M781" s="5">
        <f t="shared" si="179"/>
        <v>0.75600000000000001</v>
      </c>
      <c r="N781" s="5">
        <f t="shared" si="183"/>
        <v>61.275973346462017</v>
      </c>
      <c r="O781" s="5">
        <f t="shared" si="184"/>
        <v>25.912275973552475</v>
      </c>
      <c r="P781" s="5">
        <f t="shared" si="185"/>
        <v>4.6442609322827177</v>
      </c>
      <c r="Q781" s="5">
        <f t="shared" si="186"/>
        <v>1.7647058823529411</v>
      </c>
      <c r="R781" s="5">
        <f t="shared" si="187"/>
        <v>15.022023946681815</v>
      </c>
      <c r="S781" s="5"/>
    </row>
    <row r="782" spans="1:19" x14ac:dyDescent="0.75">
      <c r="A782" s="11">
        <f t="shared" si="188"/>
        <v>118</v>
      </c>
      <c r="B782" s="15">
        <f>Comparisons!K38</f>
        <v>1.68</v>
      </c>
      <c r="C782" s="48">
        <f t="shared" si="180"/>
        <v>45.543455522732629</v>
      </c>
      <c r="D782" s="48">
        <f t="shared" si="181"/>
        <v>69.097808363450582</v>
      </c>
      <c r="E782" s="49">
        <f t="shared" si="172"/>
        <v>159.38325238577676</v>
      </c>
      <c r="F782" s="49">
        <f t="shared" si="173"/>
        <v>2.4057160381724279</v>
      </c>
      <c r="G782" s="49">
        <f t="shared" si="174"/>
        <v>207.33242394668181</v>
      </c>
      <c r="H782" s="5">
        <f t="shared" si="175"/>
        <v>4.056</v>
      </c>
      <c r="I782" s="5">
        <f t="shared" si="176"/>
        <v>0.44616</v>
      </c>
      <c r="J782" s="5">
        <f t="shared" si="177"/>
        <v>9.7899672128013098</v>
      </c>
      <c r="K782" s="5">
        <f t="shared" si="182"/>
        <v>48.755702996546674</v>
      </c>
      <c r="L782" s="5">
        <f t="shared" si="178"/>
        <v>190.31039999999999</v>
      </c>
      <c r="M782" s="5">
        <f t="shared" si="179"/>
        <v>0.82600000000000007</v>
      </c>
      <c r="N782" s="5">
        <f t="shared" si="183"/>
        <v>61.275973346462017</v>
      </c>
      <c r="O782" s="5">
        <f t="shared" si="184"/>
        <v>25.912275973552475</v>
      </c>
      <c r="P782" s="5">
        <f t="shared" si="185"/>
        <v>4.6442609322827177</v>
      </c>
      <c r="Q782" s="5">
        <f t="shared" si="186"/>
        <v>1.7647058823529411</v>
      </c>
      <c r="R782" s="5">
        <f t="shared" si="187"/>
        <v>15.022023946681815</v>
      </c>
      <c r="S782" s="5"/>
    </row>
    <row r="783" spans="1:19" x14ac:dyDescent="0.75">
      <c r="A783" s="11">
        <f t="shared" si="188"/>
        <v>128</v>
      </c>
      <c r="B783" s="15">
        <f>Comparisons!K39</f>
        <v>1.65</v>
      </c>
      <c r="C783" s="48">
        <f t="shared" si="180"/>
        <v>44.520469378217022</v>
      </c>
      <c r="D783" s="48">
        <f t="shared" si="181"/>
        <v>67.442783928037272</v>
      </c>
      <c r="E783" s="49">
        <f t="shared" si="172"/>
        <v>172.40612734001454</v>
      </c>
      <c r="F783" s="49">
        <f t="shared" si="173"/>
        <v>2.8474272284502535</v>
      </c>
      <c r="G783" s="49">
        <f t="shared" si="174"/>
        <v>219.77402394668181</v>
      </c>
      <c r="H783" s="5">
        <f t="shared" si="175"/>
        <v>4.1339999999999986</v>
      </c>
      <c r="I783" s="5">
        <f t="shared" si="176"/>
        <v>0.45473999999999987</v>
      </c>
      <c r="J783" s="5">
        <f t="shared" si="177"/>
        <v>11.449320378923376</v>
      </c>
      <c r="K783" s="5">
        <f t="shared" si="182"/>
        <v>60.205023375470049</v>
      </c>
      <c r="L783" s="5">
        <f t="shared" si="178"/>
        <v>202.75199999999998</v>
      </c>
      <c r="M783" s="5">
        <f t="shared" si="179"/>
        <v>0.89600000000000002</v>
      </c>
      <c r="N783" s="5">
        <f t="shared" si="183"/>
        <v>61.275973346462017</v>
      </c>
      <c r="O783" s="5">
        <f t="shared" si="184"/>
        <v>25.912275973552475</v>
      </c>
      <c r="P783" s="5">
        <f t="shared" si="185"/>
        <v>4.6442609322827177</v>
      </c>
      <c r="Q783" s="5">
        <f t="shared" si="186"/>
        <v>1.7647058823529411</v>
      </c>
      <c r="R783" s="5">
        <f t="shared" si="187"/>
        <v>15.022023946681815</v>
      </c>
      <c r="S783" s="5"/>
    </row>
    <row r="784" spans="1:19" x14ac:dyDescent="0.75">
      <c r="A784" s="11">
        <f t="shared" si="188"/>
        <v>138</v>
      </c>
      <c r="B784" s="15">
        <f>Comparisons!K40</f>
        <v>1.6</v>
      </c>
      <c r="C784" s="48">
        <f t="shared" si="180"/>
        <v>41.675525068218711</v>
      </c>
      <c r="D784" s="48">
        <f t="shared" si="181"/>
        <v>63.036672926253132</v>
      </c>
      <c r="E784" s="49">
        <f t="shared" si="172"/>
        <v>186.90868781007174</v>
      </c>
      <c r="F784" s="49">
        <f t="shared" si="173"/>
        <v>3.3638110683913625</v>
      </c>
      <c r="G784" s="49">
        <f t="shared" si="174"/>
        <v>231.94802394668181</v>
      </c>
      <c r="H784" s="5">
        <f t="shared" si="175"/>
        <v>4.1719999999999997</v>
      </c>
      <c r="I784" s="5">
        <f t="shared" si="176"/>
        <v>0.45891999999999999</v>
      </c>
      <c r="J784" s="5">
        <f t="shared" si="177"/>
        <v>13.350727994067185</v>
      </c>
      <c r="K784" s="5">
        <f t="shared" si="182"/>
        <v>73.555751369537234</v>
      </c>
      <c r="L784" s="5">
        <f t="shared" si="178"/>
        <v>214.17599999999999</v>
      </c>
      <c r="M784" s="5">
        <f t="shared" si="179"/>
        <v>0.96599999999999997</v>
      </c>
      <c r="N784" s="5">
        <f t="shared" si="183"/>
        <v>61.275973346462017</v>
      </c>
      <c r="O784" s="5">
        <f t="shared" si="184"/>
        <v>25.912275973552475</v>
      </c>
      <c r="P784" s="5">
        <f t="shared" si="185"/>
        <v>4.6442609322827177</v>
      </c>
      <c r="Q784" s="5">
        <f t="shared" si="186"/>
        <v>1.7647058823529411</v>
      </c>
      <c r="R784" s="5">
        <f t="shared" si="187"/>
        <v>15.022023946681815</v>
      </c>
      <c r="S784" s="5"/>
    </row>
    <row r="785" spans="1:19" x14ac:dyDescent="0.75">
      <c r="A785" s="11">
        <f t="shared" si="188"/>
        <v>148</v>
      </c>
      <c r="B785" s="15">
        <f>Comparisons!K41</f>
        <v>1.55</v>
      </c>
      <c r="C785" s="48">
        <f t="shared" si="180"/>
        <v>28.548442349530276</v>
      </c>
      <c r="D785" s="48">
        <f t="shared" si="181"/>
        <v>43.115165072129749</v>
      </c>
      <c r="E785" s="49">
        <f t="shared" si="172"/>
        <v>207.69972522993783</v>
      </c>
      <c r="F785" s="49">
        <f t="shared" si="173"/>
        <v>4.0418563672137244</v>
      </c>
      <c r="G785" s="49">
        <f t="shared" si="174"/>
        <v>240.29002394668183</v>
      </c>
      <c r="H785" s="5">
        <f t="shared" si="175"/>
        <v>4.169999999999999</v>
      </c>
      <c r="I785" s="5">
        <f t="shared" si="176"/>
        <v>0.45869999999999989</v>
      </c>
      <c r="J785" s="5">
        <f t="shared" si="177"/>
        <v>15.543325390625789</v>
      </c>
      <c r="K785" s="5">
        <f t="shared" si="182"/>
        <v>89.09907676016303</v>
      </c>
      <c r="L785" s="5">
        <f t="shared" si="178"/>
        <v>222.518</v>
      </c>
      <c r="M785" s="5">
        <f t="shared" si="179"/>
        <v>1.036</v>
      </c>
      <c r="N785" s="5">
        <f t="shared" si="183"/>
        <v>61.275973346462017</v>
      </c>
      <c r="O785" s="5">
        <f t="shared" si="184"/>
        <v>25.912275973552475</v>
      </c>
      <c r="P785" s="5">
        <f t="shared" si="185"/>
        <v>4.6442609322827177</v>
      </c>
      <c r="Q785" s="5">
        <f t="shared" si="186"/>
        <v>1.7647058823529411</v>
      </c>
      <c r="R785" s="5">
        <f t="shared" si="187"/>
        <v>15.022023946681815</v>
      </c>
      <c r="S785" s="5"/>
    </row>
    <row r="786" spans="1:19" x14ac:dyDescent="0.75">
      <c r="A786" s="11">
        <f t="shared" si="188"/>
        <v>158</v>
      </c>
      <c r="B786" s="15">
        <f>Comparisons!K42</f>
        <v>1.4</v>
      </c>
      <c r="C786" s="48">
        <f t="shared" si="180"/>
        <v>0.39622088344416273</v>
      </c>
      <c r="D786" s="48">
        <f t="shared" si="181"/>
        <v>0.59747455193262911</v>
      </c>
      <c r="E786" s="49">
        <f t="shared" si="172"/>
        <v>227.17743156872567</v>
      </c>
      <c r="F786" s="49">
        <f t="shared" si="173"/>
        <v>4.7623714945119628</v>
      </c>
      <c r="G786" s="49">
        <f t="shared" si="174"/>
        <v>232.33602394668179</v>
      </c>
      <c r="H786" s="5">
        <f t="shared" si="175"/>
        <v>4.1279999999999992</v>
      </c>
      <c r="I786" s="5">
        <f t="shared" si="176"/>
        <v>0.45407999999999993</v>
      </c>
      <c r="J786" s="5">
        <f t="shared" si="177"/>
        <v>18.110047448356379</v>
      </c>
      <c r="K786" s="5">
        <f t="shared" si="182"/>
        <v>107.20912420851941</v>
      </c>
      <c r="L786" s="5">
        <f t="shared" si="178"/>
        <v>214.56399999999996</v>
      </c>
      <c r="M786" s="5">
        <f t="shared" si="179"/>
        <v>1.1060000000000001</v>
      </c>
      <c r="N786" s="5">
        <f t="shared" si="183"/>
        <v>61.275973346462017</v>
      </c>
      <c r="O786" s="5">
        <f t="shared" si="184"/>
        <v>25.912275973552475</v>
      </c>
      <c r="P786" s="5">
        <f t="shared" si="185"/>
        <v>4.6442609322827177</v>
      </c>
      <c r="Q786" s="5">
        <f t="shared" si="186"/>
        <v>1.7647058823529411</v>
      </c>
      <c r="R786" s="5">
        <f t="shared" si="187"/>
        <v>15.022023946681815</v>
      </c>
      <c r="S786" s="5"/>
    </row>
    <row r="787" spans="1:19" x14ac:dyDescent="0.75">
      <c r="A787" s="11">
        <f t="shared" si="188"/>
        <v>168</v>
      </c>
      <c r="B787" s="15">
        <f>Comparisons!K43</f>
        <v>1.3</v>
      </c>
      <c r="C787" s="48">
        <f t="shared" si="180"/>
        <v>-25.392747451458845</v>
      </c>
      <c r="D787" s="48">
        <f t="shared" si="181"/>
        <v>-38.231834402936038</v>
      </c>
      <c r="E787" s="49">
        <f t="shared" si="172"/>
        <v>249.39580595812475</v>
      </c>
      <c r="F787" s="49">
        <f t="shared" si="173"/>
        <v>5.6169654400159308</v>
      </c>
      <c r="G787" s="49">
        <f t="shared" si="174"/>
        <v>229.62002394668184</v>
      </c>
      <c r="H787" s="5">
        <f t="shared" si="175"/>
        <v>4.0459999999999994</v>
      </c>
      <c r="I787" s="5">
        <f t="shared" si="176"/>
        <v>0.44505999999999996</v>
      </c>
      <c r="J787" s="5">
        <f t="shared" si="177"/>
        <v>21.195879038717507</v>
      </c>
      <c r="K787" s="5">
        <f t="shared" si="182"/>
        <v>128.40500324723692</v>
      </c>
      <c r="L787" s="5">
        <f t="shared" si="178"/>
        <v>211.84800000000001</v>
      </c>
      <c r="M787" s="5">
        <f t="shared" si="179"/>
        <v>1.1759999999999999</v>
      </c>
      <c r="N787" s="5">
        <f t="shared" si="183"/>
        <v>61.275973346462017</v>
      </c>
      <c r="O787" s="5">
        <f t="shared" si="184"/>
        <v>25.912275973552475</v>
      </c>
      <c r="P787" s="5">
        <f t="shared" si="185"/>
        <v>4.6442609322827177</v>
      </c>
      <c r="Q787" s="5">
        <f t="shared" si="186"/>
        <v>1.7647058823529411</v>
      </c>
      <c r="R787" s="5">
        <f t="shared" si="187"/>
        <v>15.022023946681815</v>
      </c>
      <c r="S787" s="5"/>
    </row>
    <row r="788" spans="1:19" x14ac:dyDescent="0.75">
      <c r="A788" s="11">
        <f t="shared" si="188"/>
        <v>178</v>
      </c>
      <c r="B788" s="15">
        <f>Comparisons!K44</f>
        <v>0</v>
      </c>
      <c r="C788" s="48" t="e">
        <f t="shared" si="180"/>
        <v>#DIV/0!</v>
      </c>
      <c r="D788" s="48" t="e">
        <f t="shared" si="181"/>
        <v>#DIV/0!</v>
      </c>
      <c r="E788" s="49" t="e">
        <f t="shared" si="172"/>
        <v>#DIV/0!</v>
      </c>
      <c r="F788" s="49" t="e">
        <f t="shared" si="173"/>
        <v>#DIV/0!</v>
      </c>
      <c r="G788" s="49">
        <f t="shared" si="174"/>
        <v>17.772023946681813</v>
      </c>
      <c r="H788" s="5">
        <f t="shared" si="175"/>
        <v>0</v>
      </c>
      <c r="I788" s="5">
        <f t="shared" si="176"/>
        <v>0</v>
      </c>
      <c r="J788" s="5" t="e">
        <f t="shared" si="177"/>
        <v>#DIV/0!</v>
      </c>
      <c r="K788" s="5" t="e">
        <f t="shared" si="182"/>
        <v>#DIV/0!</v>
      </c>
      <c r="L788" s="5">
        <f t="shared" si="178"/>
        <v>0</v>
      </c>
      <c r="M788" s="5">
        <f t="shared" si="179"/>
        <v>1.246</v>
      </c>
      <c r="N788" s="5">
        <f t="shared" si="183"/>
        <v>61.275973346462017</v>
      </c>
      <c r="O788" s="5">
        <f t="shared" si="184"/>
        <v>25.912275973552475</v>
      </c>
      <c r="P788" s="5">
        <f t="shared" si="185"/>
        <v>4.6442609322827177</v>
      </c>
      <c r="Q788" s="5">
        <f t="shared" si="186"/>
        <v>1.7647058823529411</v>
      </c>
      <c r="R788" s="5">
        <f t="shared" si="187"/>
        <v>15.022023946681815</v>
      </c>
      <c r="S788" s="5"/>
    </row>
    <row r="789" spans="1:19" x14ac:dyDescent="0.75">
      <c r="A789" s="11">
        <f t="shared" si="188"/>
        <v>188</v>
      </c>
      <c r="B789" s="15">
        <f>Comparisons!K45</f>
        <v>0</v>
      </c>
      <c r="C789" s="48" t="e">
        <f t="shared" si="180"/>
        <v>#DIV/0!</v>
      </c>
      <c r="D789" s="48" t="e">
        <f t="shared" si="181"/>
        <v>#DIV/0!</v>
      </c>
      <c r="E789" s="49" t="e">
        <f t="shared" si="172"/>
        <v>#DIV/0!</v>
      </c>
      <c r="F789" s="49" t="e">
        <f t="shared" si="173"/>
        <v>#DIV/0!</v>
      </c>
      <c r="G789" s="49">
        <f t="shared" si="174"/>
        <v>17.772023946681813</v>
      </c>
      <c r="H789" s="5">
        <f t="shared" si="175"/>
        <v>0</v>
      </c>
      <c r="I789" s="5">
        <f t="shared" si="176"/>
        <v>0</v>
      </c>
      <c r="J789" s="5" t="e">
        <f>I789*(C770-C769)</f>
        <v>#DIV/0!</v>
      </c>
      <c r="K789" s="5" t="e">
        <f t="shared" si="182"/>
        <v>#DIV/0!</v>
      </c>
      <c r="L789" s="5">
        <f t="shared" si="178"/>
        <v>0</v>
      </c>
      <c r="M789" s="5">
        <f t="shared" si="179"/>
        <v>1.3160000000000001</v>
      </c>
      <c r="N789" s="5">
        <f t="shared" si="183"/>
        <v>61.275973346462017</v>
      </c>
      <c r="O789" s="5">
        <f t="shared" si="184"/>
        <v>25.912275973552475</v>
      </c>
      <c r="P789" s="5">
        <f t="shared" si="185"/>
        <v>4.6442609322827177</v>
      </c>
      <c r="Q789" s="5">
        <f t="shared" si="186"/>
        <v>1.7647058823529411</v>
      </c>
      <c r="R789" s="5">
        <f t="shared" si="187"/>
        <v>15.022023946681815</v>
      </c>
      <c r="S789" s="5"/>
    </row>
  </sheetData>
  <mergeCells count="32">
    <mergeCell ref="D653:F653"/>
    <mergeCell ref="G653:J653"/>
    <mergeCell ref="K653:O653"/>
    <mergeCell ref="P653:S653"/>
    <mergeCell ref="D753:F753"/>
    <mergeCell ref="G753:J753"/>
    <mergeCell ref="K753:O753"/>
    <mergeCell ref="P753:S753"/>
    <mergeCell ref="D453:F453"/>
    <mergeCell ref="G453:J453"/>
    <mergeCell ref="K453:O453"/>
    <mergeCell ref="P453:S453"/>
    <mergeCell ref="D553:F553"/>
    <mergeCell ref="G553:J553"/>
    <mergeCell ref="K553:O553"/>
    <mergeCell ref="P553:S553"/>
    <mergeCell ref="D253:F253"/>
    <mergeCell ref="G253:J253"/>
    <mergeCell ref="K253:O253"/>
    <mergeCell ref="P253:S253"/>
    <mergeCell ref="D353:F353"/>
    <mergeCell ref="G353:J353"/>
    <mergeCell ref="K353:O353"/>
    <mergeCell ref="P353:S353"/>
    <mergeCell ref="D53:F53"/>
    <mergeCell ref="G53:J53"/>
    <mergeCell ref="K53:O53"/>
    <mergeCell ref="P53:S53"/>
    <mergeCell ref="D153:F153"/>
    <mergeCell ref="G153:J153"/>
    <mergeCell ref="K153:O153"/>
    <mergeCell ref="P153:S15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P96"/>
  <sheetViews>
    <sheetView workbookViewId="0">
      <selection activeCell="O75" sqref="O75"/>
    </sheetView>
  </sheetViews>
  <sheetFormatPr defaultRowHeight="14.75" x14ac:dyDescent="0.75"/>
  <sheetData>
    <row r="1" spans="1:13" x14ac:dyDescent="0.75">
      <c r="B1" s="98" t="s">
        <v>148</v>
      </c>
      <c r="C1" s="98"/>
      <c r="D1" s="98"/>
      <c r="E1" s="98"/>
      <c r="F1" s="98" t="s">
        <v>150</v>
      </c>
      <c r="G1" s="98"/>
      <c r="H1" s="98"/>
      <c r="I1" s="98"/>
      <c r="J1" s="98" t="s">
        <v>149</v>
      </c>
      <c r="K1" s="98"/>
      <c r="L1" s="98"/>
      <c r="M1" s="98"/>
    </row>
    <row r="2" spans="1:13" x14ac:dyDescent="0.75">
      <c r="A2" t="s">
        <v>146</v>
      </c>
      <c r="B2" t="s">
        <v>147</v>
      </c>
      <c r="C2" t="s">
        <v>151</v>
      </c>
      <c r="D2" t="s">
        <v>152</v>
      </c>
      <c r="E2" t="s">
        <v>153</v>
      </c>
      <c r="F2" t="s">
        <v>147</v>
      </c>
      <c r="G2" t="s">
        <v>151</v>
      </c>
      <c r="H2" t="s">
        <v>152</v>
      </c>
      <c r="I2" t="s">
        <v>153</v>
      </c>
      <c r="J2" t="s">
        <v>147</v>
      </c>
      <c r="K2" t="s">
        <v>151</v>
      </c>
      <c r="L2" t="s">
        <v>152</v>
      </c>
      <c r="M2" t="s">
        <v>153</v>
      </c>
    </row>
    <row r="3" spans="1:13" x14ac:dyDescent="0.75">
      <c r="A3">
        <v>50</v>
      </c>
      <c r="B3" s="65">
        <f>A3/145*100</f>
        <v>34.482758620689658</v>
      </c>
      <c r="C3" s="64">
        <f>D3-0.12</f>
        <v>0.28000000000000003</v>
      </c>
      <c r="D3" s="64">
        <v>0.4</v>
      </c>
      <c r="E3" s="64">
        <f>D3+0.15</f>
        <v>0.55000000000000004</v>
      </c>
      <c r="F3" s="65">
        <f>A3/175*100</f>
        <v>28.571428571428569</v>
      </c>
      <c r="G3" s="64">
        <f>H3-0.2</f>
        <v>0.35000000000000003</v>
      </c>
      <c r="H3" s="64">
        <v>0.55000000000000004</v>
      </c>
      <c r="I3" s="64">
        <f>H3+0.2</f>
        <v>0.75</v>
      </c>
      <c r="J3" s="65">
        <f>A3/200*100</f>
        <v>25</v>
      </c>
      <c r="K3" s="64">
        <f>L3-0.2</f>
        <v>0.39999999999999997</v>
      </c>
      <c r="L3" s="64">
        <v>0.6</v>
      </c>
      <c r="M3" s="64">
        <f>L3+0.2</f>
        <v>0.8</v>
      </c>
    </row>
    <row r="4" spans="1:13" x14ac:dyDescent="0.75">
      <c r="A4">
        <v>60</v>
      </c>
      <c r="B4" s="65">
        <f t="shared" ref="B4:B12" si="0">A4/145*100</f>
        <v>41.379310344827587</v>
      </c>
      <c r="C4" s="64">
        <f t="shared" ref="C4:C12" si="1">D4-0.12</f>
        <v>0.3</v>
      </c>
      <c r="D4" s="64">
        <v>0.42</v>
      </c>
      <c r="E4" s="64">
        <f t="shared" ref="E4:E12" si="2">D4+0.15</f>
        <v>0.56999999999999995</v>
      </c>
      <c r="F4" s="65">
        <f t="shared" ref="F4:F15" si="3">A4/175*100</f>
        <v>34.285714285714285</v>
      </c>
      <c r="G4" s="64">
        <f t="shared" ref="G4:G15" si="4">H4-0.2</f>
        <v>0.36000000000000004</v>
      </c>
      <c r="H4" s="64">
        <v>0.56000000000000005</v>
      </c>
      <c r="I4" s="64">
        <f t="shared" ref="I4:I15" si="5">H4+0.2</f>
        <v>0.76</v>
      </c>
      <c r="J4" s="65">
        <f t="shared" ref="J4:J18" si="6">A4/200*100</f>
        <v>30</v>
      </c>
      <c r="K4" s="64">
        <f t="shared" ref="K4:K18" si="7">L4-0.2</f>
        <v>0.42</v>
      </c>
      <c r="L4" s="64">
        <v>0.62</v>
      </c>
      <c r="M4" s="64">
        <f t="shared" ref="M4:M18" si="8">L4+0.2</f>
        <v>0.82000000000000006</v>
      </c>
    </row>
    <row r="5" spans="1:13" x14ac:dyDescent="0.75">
      <c r="A5">
        <v>70</v>
      </c>
      <c r="B5" s="65">
        <f t="shared" si="0"/>
        <v>48.275862068965516</v>
      </c>
      <c r="C5" s="64">
        <f t="shared" si="1"/>
        <v>0.31</v>
      </c>
      <c r="D5" s="64">
        <v>0.43</v>
      </c>
      <c r="E5" s="64">
        <f t="shared" si="2"/>
        <v>0.57999999999999996</v>
      </c>
      <c r="F5" s="65">
        <f t="shared" si="3"/>
        <v>40</v>
      </c>
      <c r="G5" s="64">
        <f t="shared" si="4"/>
        <v>0.37999999999999995</v>
      </c>
      <c r="H5" s="64">
        <v>0.57999999999999996</v>
      </c>
      <c r="I5" s="64">
        <f t="shared" si="5"/>
        <v>0.78</v>
      </c>
      <c r="J5" s="65">
        <f t="shared" si="6"/>
        <v>35</v>
      </c>
      <c r="K5" s="64">
        <f t="shared" si="7"/>
        <v>0.45</v>
      </c>
      <c r="L5" s="64">
        <v>0.65</v>
      </c>
      <c r="M5" s="64">
        <f t="shared" si="8"/>
        <v>0.85000000000000009</v>
      </c>
    </row>
    <row r="6" spans="1:13" x14ac:dyDescent="0.75">
      <c r="A6">
        <v>80</v>
      </c>
      <c r="B6" s="65">
        <f t="shared" si="0"/>
        <v>55.172413793103445</v>
      </c>
      <c r="C6" s="64">
        <f t="shared" si="1"/>
        <v>0.33</v>
      </c>
      <c r="D6" s="64">
        <v>0.45</v>
      </c>
      <c r="E6" s="64">
        <f t="shared" si="2"/>
        <v>0.6</v>
      </c>
      <c r="F6" s="65">
        <f t="shared" si="3"/>
        <v>45.714285714285715</v>
      </c>
      <c r="G6" s="64">
        <f t="shared" si="4"/>
        <v>0.38999999999999996</v>
      </c>
      <c r="H6" s="64">
        <v>0.59</v>
      </c>
      <c r="I6" s="64">
        <f t="shared" si="5"/>
        <v>0.79</v>
      </c>
      <c r="J6" s="65">
        <f t="shared" si="6"/>
        <v>40</v>
      </c>
      <c r="K6" s="64">
        <f t="shared" si="7"/>
        <v>0.45</v>
      </c>
      <c r="L6" s="64">
        <v>0.65</v>
      </c>
      <c r="M6" s="64">
        <f t="shared" si="8"/>
        <v>0.85000000000000009</v>
      </c>
    </row>
    <row r="7" spans="1:13" x14ac:dyDescent="0.75">
      <c r="A7">
        <v>90</v>
      </c>
      <c r="B7" s="65">
        <f t="shared" si="0"/>
        <v>62.068965517241381</v>
      </c>
      <c r="C7" s="64">
        <f t="shared" si="1"/>
        <v>0.36</v>
      </c>
      <c r="D7" s="64">
        <v>0.48</v>
      </c>
      <c r="E7" s="64">
        <f t="shared" si="2"/>
        <v>0.63</v>
      </c>
      <c r="F7" s="65">
        <f t="shared" si="3"/>
        <v>51.428571428571423</v>
      </c>
      <c r="G7" s="64">
        <f t="shared" si="4"/>
        <v>0.41</v>
      </c>
      <c r="H7" s="64">
        <v>0.61</v>
      </c>
      <c r="I7" s="64">
        <f t="shared" si="5"/>
        <v>0.81</v>
      </c>
      <c r="J7" s="65">
        <f t="shared" si="6"/>
        <v>45</v>
      </c>
      <c r="K7" s="64">
        <f t="shared" si="7"/>
        <v>0.48000000000000004</v>
      </c>
      <c r="L7" s="64">
        <v>0.68</v>
      </c>
      <c r="M7" s="64">
        <f t="shared" si="8"/>
        <v>0.88000000000000012</v>
      </c>
    </row>
    <row r="8" spans="1:13" x14ac:dyDescent="0.75">
      <c r="A8">
        <v>100</v>
      </c>
      <c r="B8" s="65">
        <f t="shared" si="0"/>
        <v>68.965517241379317</v>
      </c>
      <c r="C8" s="64">
        <f t="shared" si="1"/>
        <v>0.38</v>
      </c>
      <c r="D8" s="64">
        <v>0.5</v>
      </c>
      <c r="E8" s="64">
        <f t="shared" si="2"/>
        <v>0.65</v>
      </c>
      <c r="F8" s="65">
        <f t="shared" si="3"/>
        <v>57.142857142857139</v>
      </c>
      <c r="G8" s="64">
        <f t="shared" si="4"/>
        <v>0.43</v>
      </c>
      <c r="H8" s="64">
        <v>0.63</v>
      </c>
      <c r="I8" s="64">
        <f t="shared" si="5"/>
        <v>0.83000000000000007</v>
      </c>
      <c r="J8" s="65">
        <f t="shared" si="6"/>
        <v>50</v>
      </c>
      <c r="K8" s="64">
        <f t="shared" si="7"/>
        <v>0.49999999999999994</v>
      </c>
      <c r="L8" s="64">
        <v>0.7</v>
      </c>
      <c r="M8" s="64">
        <f t="shared" si="8"/>
        <v>0.89999999999999991</v>
      </c>
    </row>
    <row r="9" spans="1:13" x14ac:dyDescent="0.75">
      <c r="A9">
        <v>110</v>
      </c>
      <c r="B9" s="65">
        <f t="shared" si="0"/>
        <v>75.862068965517238</v>
      </c>
      <c r="C9" s="64">
        <f t="shared" si="1"/>
        <v>0.38</v>
      </c>
      <c r="D9" s="64">
        <v>0.5</v>
      </c>
      <c r="E9" s="64">
        <f t="shared" si="2"/>
        <v>0.65</v>
      </c>
      <c r="F9" s="65">
        <f t="shared" si="3"/>
        <v>62.857142857142854</v>
      </c>
      <c r="G9" s="64">
        <f t="shared" si="4"/>
        <v>0.45</v>
      </c>
      <c r="H9" s="64">
        <v>0.65</v>
      </c>
      <c r="I9" s="64">
        <f t="shared" si="5"/>
        <v>0.85000000000000009</v>
      </c>
      <c r="J9" s="65">
        <f t="shared" si="6"/>
        <v>55.000000000000007</v>
      </c>
      <c r="K9" s="64">
        <f t="shared" si="7"/>
        <v>0.54</v>
      </c>
      <c r="L9" s="64">
        <v>0.74</v>
      </c>
      <c r="M9" s="64">
        <f t="shared" si="8"/>
        <v>0.94</v>
      </c>
    </row>
    <row r="10" spans="1:13" x14ac:dyDescent="0.75">
      <c r="A10">
        <v>120</v>
      </c>
      <c r="B10" s="65">
        <f t="shared" si="0"/>
        <v>82.758620689655174</v>
      </c>
      <c r="C10" s="64">
        <f t="shared" si="1"/>
        <v>0.36</v>
      </c>
      <c r="D10" s="64">
        <v>0.48</v>
      </c>
      <c r="E10" s="64">
        <f t="shared" si="2"/>
        <v>0.63</v>
      </c>
      <c r="F10" s="65">
        <f t="shared" si="3"/>
        <v>68.571428571428569</v>
      </c>
      <c r="G10" s="64">
        <f t="shared" si="4"/>
        <v>0.45</v>
      </c>
      <c r="H10" s="64">
        <v>0.65</v>
      </c>
      <c r="I10" s="64">
        <f t="shared" si="5"/>
        <v>0.85000000000000009</v>
      </c>
      <c r="J10" s="65">
        <f t="shared" si="6"/>
        <v>60</v>
      </c>
      <c r="K10" s="64">
        <f t="shared" si="7"/>
        <v>0.55000000000000004</v>
      </c>
      <c r="L10" s="64">
        <v>0.75</v>
      </c>
      <c r="M10" s="64">
        <f t="shared" si="8"/>
        <v>0.95</v>
      </c>
    </row>
    <row r="11" spans="1:13" x14ac:dyDescent="0.75">
      <c r="A11">
        <v>130</v>
      </c>
      <c r="B11" s="65">
        <f t="shared" si="0"/>
        <v>89.65517241379311</v>
      </c>
      <c r="C11" s="64">
        <f t="shared" si="1"/>
        <v>0.3</v>
      </c>
      <c r="D11" s="64">
        <v>0.42</v>
      </c>
      <c r="E11" s="64">
        <f t="shared" si="2"/>
        <v>0.56999999999999995</v>
      </c>
      <c r="F11" s="65">
        <f t="shared" si="3"/>
        <v>74.285714285714292</v>
      </c>
      <c r="G11" s="64">
        <f t="shared" si="4"/>
        <v>0.44</v>
      </c>
      <c r="H11" s="64">
        <v>0.64</v>
      </c>
      <c r="I11" s="64">
        <f t="shared" si="5"/>
        <v>0.84000000000000008</v>
      </c>
      <c r="J11" s="65">
        <f t="shared" si="6"/>
        <v>65</v>
      </c>
      <c r="K11" s="64">
        <f t="shared" si="7"/>
        <v>0.58000000000000007</v>
      </c>
      <c r="L11" s="64">
        <v>0.78</v>
      </c>
      <c r="M11" s="64">
        <f t="shared" si="8"/>
        <v>0.98</v>
      </c>
    </row>
    <row r="12" spans="1:13" x14ac:dyDescent="0.75">
      <c r="A12">
        <v>140</v>
      </c>
      <c r="B12" s="65">
        <f t="shared" si="0"/>
        <v>96.551724137931032</v>
      </c>
      <c r="C12" s="64">
        <f t="shared" si="1"/>
        <v>0.22999999999999998</v>
      </c>
      <c r="D12" s="64">
        <v>0.35</v>
      </c>
      <c r="E12" s="64">
        <f t="shared" si="2"/>
        <v>0.5</v>
      </c>
      <c r="F12" s="65">
        <f t="shared" si="3"/>
        <v>80</v>
      </c>
      <c r="G12" s="64">
        <f t="shared" si="4"/>
        <v>0.43</v>
      </c>
      <c r="H12" s="64">
        <v>0.63</v>
      </c>
      <c r="I12" s="64">
        <f t="shared" si="5"/>
        <v>0.83000000000000007</v>
      </c>
      <c r="J12" s="65">
        <f t="shared" si="6"/>
        <v>70</v>
      </c>
      <c r="K12" s="64">
        <f t="shared" si="7"/>
        <v>0.60000000000000009</v>
      </c>
      <c r="L12" s="64">
        <v>0.8</v>
      </c>
      <c r="M12" s="64">
        <f t="shared" si="8"/>
        <v>1</v>
      </c>
    </row>
    <row r="13" spans="1:13" x14ac:dyDescent="0.75">
      <c r="A13">
        <v>150</v>
      </c>
      <c r="B13" s="64"/>
      <c r="C13" s="64"/>
      <c r="D13" s="64"/>
      <c r="E13" s="64"/>
      <c r="F13" s="65">
        <f t="shared" si="3"/>
        <v>85.714285714285708</v>
      </c>
      <c r="G13" s="64">
        <f t="shared" si="4"/>
        <v>0.42</v>
      </c>
      <c r="H13" s="64">
        <v>0.62</v>
      </c>
      <c r="I13" s="64">
        <f t="shared" si="5"/>
        <v>0.82000000000000006</v>
      </c>
      <c r="J13" s="65">
        <f t="shared" si="6"/>
        <v>75</v>
      </c>
      <c r="K13" s="64">
        <f t="shared" si="7"/>
        <v>0.60000000000000009</v>
      </c>
      <c r="L13" s="64">
        <v>0.8</v>
      </c>
      <c r="M13" s="64">
        <f t="shared" si="8"/>
        <v>1</v>
      </c>
    </row>
    <row r="14" spans="1:13" x14ac:dyDescent="0.75">
      <c r="A14">
        <v>160</v>
      </c>
      <c r="B14" s="64"/>
      <c r="C14" s="64"/>
      <c r="D14" s="64"/>
      <c r="E14" s="64"/>
      <c r="F14" s="65">
        <f t="shared" si="3"/>
        <v>91.428571428571431</v>
      </c>
      <c r="G14" s="64">
        <f t="shared" si="4"/>
        <v>0.39999999999999997</v>
      </c>
      <c r="H14" s="64">
        <v>0.6</v>
      </c>
      <c r="I14" s="64">
        <f t="shared" si="5"/>
        <v>0.8</v>
      </c>
      <c r="J14" s="65">
        <f t="shared" si="6"/>
        <v>80</v>
      </c>
      <c r="K14" s="64">
        <f t="shared" si="7"/>
        <v>0.58000000000000007</v>
      </c>
      <c r="L14" s="64">
        <v>0.78</v>
      </c>
      <c r="M14" s="64">
        <f t="shared" si="8"/>
        <v>0.98</v>
      </c>
    </row>
    <row r="15" spans="1:13" x14ac:dyDescent="0.75">
      <c r="A15">
        <v>170</v>
      </c>
      <c r="B15" s="64"/>
      <c r="C15" s="64"/>
      <c r="D15" s="64"/>
      <c r="E15" s="64"/>
      <c r="F15" s="65">
        <f t="shared" si="3"/>
        <v>97.142857142857139</v>
      </c>
      <c r="G15" s="64">
        <f t="shared" si="4"/>
        <v>0.3</v>
      </c>
      <c r="H15" s="64">
        <v>0.5</v>
      </c>
      <c r="I15" s="64">
        <f t="shared" si="5"/>
        <v>0.7</v>
      </c>
      <c r="J15" s="65">
        <f t="shared" si="6"/>
        <v>85</v>
      </c>
      <c r="K15" s="64">
        <f t="shared" si="7"/>
        <v>0.52</v>
      </c>
      <c r="L15" s="64">
        <v>0.72</v>
      </c>
      <c r="M15" s="64">
        <f t="shared" si="8"/>
        <v>0.91999999999999993</v>
      </c>
    </row>
    <row r="16" spans="1:13" x14ac:dyDescent="0.75">
      <c r="A16">
        <v>180</v>
      </c>
      <c r="B16" s="64"/>
      <c r="C16" s="64"/>
      <c r="D16" s="64"/>
      <c r="E16" s="64"/>
      <c r="F16" s="64"/>
      <c r="G16" s="64"/>
      <c r="H16" s="64"/>
      <c r="I16" s="64"/>
      <c r="J16" s="65">
        <f t="shared" si="6"/>
        <v>90</v>
      </c>
      <c r="K16" s="64">
        <f t="shared" si="7"/>
        <v>0.48000000000000004</v>
      </c>
      <c r="L16" s="64">
        <v>0.68</v>
      </c>
      <c r="M16" s="64">
        <f t="shared" si="8"/>
        <v>0.88000000000000012</v>
      </c>
    </row>
    <row r="17" spans="1:16" x14ac:dyDescent="0.75">
      <c r="A17">
        <v>190</v>
      </c>
      <c r="B17" s="64"/>
      <c r="C17" s="64"/>
      <c r="D17" s="64"/>
      <c r="E17" s="64"/>
      <c r="F17" s="64"/>
      <c r="G17" s="64"/>
      <c r="H17" s="64"/>
      <c r="I17" s="64"/>
      <c r="J17" s="65">
        <f t="shared" si="6"/>
        <v>95</v>
      </c>
      <c r="K17" s="64">
        <f t="shared" si="7"/>
        <v>0.42</v>
      </c>
      <c r="L17" s="64">
        <v>0.62</v>
      </c>
      <c r="M17" s="64">
        <f t="shared" si="8"/>
        <v>0.82000000000000006</v>
      </c>
    </row>
    <row r="18" spans="1:16" x14ac:dyDescent="0.75">
      <c r="A18">
        <v>200</v>
      </c>
      <c r="B18" s="64"/>
      <c r="C18" s="64"/>
      <c r="D18" s="64"/>
      <c r="E18" s="64"/>
      <c r="F18" s="64"/>
      <c r="G18" s="64"/>
      <c r="H18" s="64"/>
      <c r="I18" s="64"/>
      <c r="J18" s="65">
        <f t="shared" si="6"/>
        <v>100</v>
      </c>
      <c r="K18" s="64">
        <f t="shared" si="7"/>
        <v>0.35000000000000003</v>
      </c>
      <c r="L18" s="64">
        <v>0.55000000000000004</v>
      </c>
      <c r="M18" s="64">
        <f t="shared" si="8"/>
        <v>0.75</v>
      </c>
    </row>
    <row r="21" spans="1:16" x14ac:dyDescent="0.75">
      <c r="A21" t="s">
        <v>175</v>
      </c>
      <c r="B21" s="98" t="s">
        <v>148</v>
      </c>
      <c r="C21" s="98"/>
      <c r="D21" s="98"/>
      <c r="E21" s="98"/>
      <c r="F21" s="98" t="s">
        <v>150</v>
      </c>
      <c r="G21" s="98"/>
      <c r="H21" s="98"/>
      <c r="I21" s="98"/>
      <c r="J21" s="98" t="s">
        <v>149</v>
      </c>
      <c r="K21" s="98"/>
      <c r="L21" s="98"/>
      <c r="M21" s="98"/>
    </row>
    <row r="22" spans="1:16" x14ac:dyDescent="0.75">
      <c r="A22" t="s">
        <v>146</v>
      </c>
      <c r="B22" t="s">
        <v>147</v>
      </c>
      <c r="C22" t="s">
        <v>154</v>
      </c>
      <c r="D22" t="s">
        <v>155</v>
      </c>
      <c r="E22" t="s">
        <v>156</v>
      </c>
      <c r="F22" t="s">
        <v>147</v>
      </c>
      <c r="G22" t="s">
        <v>154</v>
      </c>
      <c r="H22" t="s">
        <v>155</v>
      </c>
      <c r="I22" t="s">
        <v>156</v>
      </c>
      <c r="J22" t="s">
        <v>147</v>
      </c>
      <c r="K22" t="s">
        <v>154</v>
      </c>
      <c r="L22" t="s">
        <v>155</v>
      </c>
      <c r="M22" t="s">
        <v>156</v>
      </c>
      <c r="O22" t="s">
        <v>147</v>
      </c>
      <c r="P22" t="s">
        <v>64</v>
      </c>
    </row>
    <row r="23" spans="1:16" x14ac:dyDescent="0.75">
      <c r="A23">
        <v>50</v>
      </c>
      <c r="B23" s="65">
        <f>A23/145*100</f>
        <v>34.482758620689658</v>
      </c>
      <c r="C23" s="64">
        <f>INDEX($P$23:$P$31,MATCH($B23,$O$23:$O$31,1))+($B23-INDEX($O$23:$O$31,MATCH($B23,$O$23:$O$31,1)))*(INDEX($P$23:$P$31,MATCH($B23,$O$23:$O$31,1)+1)-INDEX($P$23:$P$31,MATCH($B23,$O$23:$O$31,1)))/(INDEX($O$23:$O$31,MATCH($B23,$O$23:$O$31,1)+1)-INDEX($O$23:$O$31,MATCH($B23,$O$23:$O$31,1)))</f>
        <v>5.36551724137931</v>
      </c>
      <c r="D23" s="64">
        <f t="shared" ref="D23:E32" si="9">INDEX($P$23:$P$31,MATCH($B23,$O$23:$O$31,1))+($B23-INDEX($O$23:$O$31,MATCH($B23,$O$23:$O$31,1)))*(INDEX($P$23:$P$31,MATCH($B23,$O$23:$O$31,1)+1)-INDEX($P$23:$P$31,MATCH($B23,$O$23:$O$31,1)))/(INDEX($O$23:$O$31,MATCH($B23,$O$23:$O$31,1)+1)-INDEX($O$23:$O$31,MATCH($B23,$O$23:$O$31,1)))</f>
        <v>5.36551724137931</v>
      </c>
      <c r="E23" s="64">
        <f t="shared" si="9"/>
        <v>5.36551724137931</v>
      </c>
      <c r="F23" s="65">
        <f>A23/175*100</f>
        <v>28.571428571428569</v>
      </c>
      <c r="G23" s="64">
        <f>INDEX($P$23:$P$31,MATCH($F23,$O$23:$O$31,1))+($F23-INDEX($O$23:$O$31,MATCH($F23,$O$23:$O$31,1)))*(INDEX($P$23:$P$31,MATCH($F23,$O$23:$O$31,1)+1)-INDEX($P$23:$P$31,MATCH($F23,$O$23:$O$31,1)))/(INDEX($O$23:$O$31,MATCH($F23,$O$23:$O$31,1)+1)-INDEX($O$23:$O$31,MATCH($F23,$O$23:$O$31,1)))</f>
        <v>5.5714285714285712</v>
      </c>
      <c r="H23" s="64">
        <f t="shared" ref="H23:I23" si="10">INDEX($P$23:$P$31,MATCH($F23,$O$23:$O$31,1))+($F23-INDEX($O$23:$O$31,MATCH($F23,$O$23:$O$31,1)))*(INDEX($P$23:$P$31,MATCH($F23,$O$23:$O$31,1)+1)-INDEX($P$23:$P$31,MATCH($F23,$O$23:$O$31,1)))/(INDEX($O$23:$O$31,MATCH($F23,$O$23:$O$31,1)+1)-INDEX($O$23:$O$31,MATCH($F23,$O$23:$O$31,1)))</f>
        <v>5.5714285714285712</v>
      </c>
      <c r="I23" s="64">
        <f t="shared" si="10"/>
        <v>5.5714285714285712</v>
      </c>
      <c r="J23" s="65">
        <f>A23/200*100</f>
        <v>25</v>
      </c>
      <c r="K23" s="64">
        <f>INDEX($P$23:$P$31,MATCH($J23,$O$23:$O$31,1))+($J23-INDEX($O$23:$O$31,MATCH($J23,$O$23:$O$31,1)))*(INDEX($P$23:$P$31,MATCH($J23,$O$23:$O$31,1)+1)-INDEX($P$23:$P$31,MATCH($J23,$O$23:$O$31,1)))/(INDEX($O$23:$O$31,MATCH($J23,$O$23:$O$31,1)+1)-INDEX($O$23:$O$31,MATCH($J23,$O$23:$O$31,1)))</f>
        <v>5.75</v>
      </c>
      <c r="L23" s="64">
        <f t="shared" ref="L23:M23" si="11">INDEX($P$23:$P$31,MATCH($J23,$O$23:$O$31,1))+($J23-INDEX($O$23:$O$31,MATCH($J23,$O$23:$O$31,1)))*(INDEX($P$23:$P$31,MATCH($J23,$O$23:$O$31,1)+1)-INDEX($P$23:$P$31,MATCH($J23,$O$23:$O$31,1)))/(INDEX($O$23:$O$31,MATCH($J23,$O$23:$O$31,1)+1)-INDEX($O$23:$O$31,MATCH($J23,$O$23:$O$31,1)))</f>
        <v>5.75</v>
      </c>
      <c r="M23" s="64">
        <f t="shared" si="11"/>
        <v>5.75</v>
      </c>
      <c r="O23">
        <v>20</v>
      </c>
      <c r="P23">
        <v>6</v>
      </c>
    </row>
    <row r="24" spans="1:16" x14ac:dyDescent="0.75">
      <c r="A24">
        <v>60</v>
      </c>
      <c r="B24" s="65">
        <f t="shared" ref="B24:B32" si="12">A24/145*100</f>
        <v>41.379310344827587</v>
      </c>
      <c r="C24" s="64">
        <f t="shared" ref="C24:C32" si="13">INDEX($P$23:$P$31,MATCH($B24,$O$23:$O$31,1))+($B24-INDEX($O$23:$O$31,MATCH($B24,$O$23:$O$31,1)))*(INDEX($P$23:$P$31,MATCH($B24,$O$23:$O$31,1)+1)-INDEX($P$23:$P$31,MATCH($B24,$O$23:$O$31,1)))/(INDEX($O$23:$O$31,MATCH($B24,$O$23:$O$31,1)+1)-INDEX($O$23:$O$31,MATCH($B24,$O$23:$O$31,1)))</f>
        <v>5.1448275862068966</v>
      </c>
      <c r="D24" s="64">
        <f t="shared" si="9"/>
        <v>5.1448275862068966</v>
      </c>
      <c r="E24" s="64">
        <f t="shared" si="9"/>
        <v>5.1448275862068966</v>
      </c>
      <c r="F24" s="65">
        <f t="shared" ref="F24:F35" si="14">A24/175*100</f>
        <v>34.285714285714285</v>
      </c>
      <c r="G24" s="64">
        <f t="shared" ref="G24:I35" si="15">INDEX($P$23:$P$31,MATCH($F24,$O$23:$O$31,1))+($F24-INDEX($O$23:$O$31,MATCH($F24,$O$23:$O$31,1)))*(INDEX($P$23:$P$31,MATCH($F24,$O$23:$O$31,1)+1)-INDEX($P$23:$P$31,MATCH($F24,$O$23:$O$31,1)))/(INDEX($O$23:$O$31,MATCH($F24,$O$23:$O$31,1)+1)-INDEX($O$23:$O$31,MATCH($F24,$O$23:$O$31,1)))</f>
        <v>5.3714285714285719</v>
      </c>
      <c r="H24" s="64">
        <f t="shared" si="15"/>
        <v>5.3714285714285719</v>
      </c>
      <c r="I24" s="64">
        <f t="shared" si="15"/>
        <v>5.3714285714285719</v>
      </c>
      <c r="J24" s="65">
        <f t="shared" ref="J24:J37" si="16">A24/200*100</f>
        <v>30</v>
      </c>
      <c r="K24" s="64">
        <f t="shared" ref="K24:M38" si="17">INDEX($P$23:$P$31,MATCH($J24,$O$23:$O$31,1))+($J24-INDEX($O$23:$O$31,MATCH($J24,$O$23:$O$31,1)))*(INDEX($P$23:$P$31,MATCH($J24,$O$23:$O$31,1)+1)-INDEX($P$23:$P$31,MATCH($J24,$O$23:$O$31,1)))/(INDEX($O$23:$O$31,MATCH($J24,$O$23:$O$31,1)+1)-INDEX($O$23:$O$31,MATCH($J24,$O$23:$O$31,1)))</f>
        <v>5.5</v>
      </c>
      <c r="L24" s="64">
        <f t="shared" si="17"/>
        <v>5.5</v>
      </c>
      <c r="M24" s="64">
        <f t="shared" si="17"/>
        <v>5.5</v>
      </c>
      <c r="O24">
        <v>30</v>
      </c>
      <c r="P24">
        <v>5.5</v>
      </c>
    </row>
    <row r="25" spans="1:16" x14ac:dyDescent="0.75">
      <c r="A25">
        <v>70</v>
      </c>
      <c r="B25" s="65">
        <f t="shared" si="12"/>
        <v>48.275862068965516</v>
      </c>
      <c r="C25" s="64">
        <f t="shared" si="13"/>
        <v>4.8689655172413788</v>
      </c>
      <c r="D25" s="64">
        <f t="shared" si="9"/>
        <v>4.8689655172413788</v>
      </c>
      <c r="E25" s="64">
        <f t="shared" si="9"/>
        <v>4.8689655172413788</v>
      </c>
      <c r="F25" s="65">
        <f t="shared" si="14"/>
        <v>40</v>
      </c>
      <c r="G25" s="64">
        <f t="shared" si="15"/>
        <v>5.2</v>
      </c>
      <c r="H25" s="64">
        <f t="shared" si="15"/>
        <v>5.2</v>
      </c>
      <c r="I25" s="64">
        <f t="shared" si="15"/>
        <v>5.2</v>
      </c>
      <c r="J25" s="65">
        <f t="shared" si="16"/>
        <v>35</v>
      </c>
      <c r="K25" s="64">
        <f t="shared" si="17"/>
        <v>5.35</v>
      </c>
      <c r="L25" s="64">
        <f t="shared" si="17"/>
        <v>5.35</v>
      </c>
      <c r="M25" s="64">
        <f t="shared" si="17"/>
        <v>5.35</v>
      </c>
      <c r="O25">
        <v>40</v>
      </c>
      <c r="P25">
        <v>5.2</v>
      </c>
    </row>
    <row r="26" spans="1:16" x14ac:dyDescent="0.75">
      <c r="A26">
        <v>80</v>
      </c>
      <c r="B26" s="65">
        <f t="shared" si="12"/>
        <v>55.172413793103445</v>
      </c>
      <c r="C26" s="64">
        <f t="shared" si="13"/>
        <v>4.386206896551724</v>
      </c>
      <c r="D26" s="64">
        <f t="shared" si="9"/>
        <v>4.386206896551724</v>
      </c>
      <c r="E26" s="64">
        <f t="shared" si="9"/>
        <v>4.386206896551724</v>
      </c>
      <c r="F26" s="65">
        <f t="shared" si="14"/>
        <v>45.714285714285715</v>
      </c>
      <c r="G26" s="64">
        <f t="shared" si="15"/>
        <v>4.9714285714285715</v>
      </c>
      <c r="H26" s="64">
        <f t="shared" si="15"/>
        <v>4.9714285714285715</v>
      </c>
      <c r="I26" s="64">
        <f t="shared" si="15"/>
        <v>4.9714285714285715</v>
      </c>
      <c r="J26" s="65">
        <f t="shared" si="16"/>
        <v>40</v>
      </c>
      <c r="K26" s="64">
        <f t="shared" si="17"/>
        <v>5.2</v>
      </c>
      <c r="L26" s="64">
        <f t="shared" si="17"/>
        <v>5.2</v>
      </c>
      <c r="M26" s="64">
        <f t="shared" si="17"/>
        <v>5.2</v>
      </c>
      <c r="O26">
        <v>50</v>
      </c>
      <c r="P26">
        <v>4.8</v>
      </c>
    </row>
    <row r="27" spans="1:16" x14ac:dyDescent="0.75">
      <c r="A27">
        <v>90</v>
      </c>
      <c r="B27" s="65">
        <f t="shared" si="12"/>
        <v>62.068965517241381</v>
      </c>
      <c r="C27" s="64">
        <f t="shared" si="13"/>
        <v>3.896551724137931</v>
      </c>
      <c r="D27" s="64">
        <f t="shared" si="9"/>
        <v>3.896551724137931</v>
      </c>
      <c r="E27" s="64">
        <f t="shared" si="9"/>
        <v>3.896551724137931</v>
      </c>
      <c r="F27" s="65">
        <f t="shared" si="14"/>
        <v>51.428571428571423</v>
      </c>
      <c r="G27" s="64">
        <f t="shared" si="15"/>
        <v>4.6857142857142859</v>
      </c>
      <c r="H27" s="64">
        <f t="shared" si="15"/>
        <v>4.6857142857142859</v>
      </c>
      <c r="I27" s="64">
        <f t="shared" si="15"/>
        <v>4.6857142857142859</v>
      </c>
      <c r="J27" s="65">
        <f t="shared" si="16"/>
        <v>45</v>
      </c>
      <c r="K27" s="64">
        <f t="shared" si="17"/>
        <v>5</v>
      </c>
      <c r="L27" s="64">
        <f t="shared" si="17"/>
        <v>5</v>
      </c>
      <c r="M27" s="64">
        <f t="shared" si="17"/>
        <v>5</v>
      </c>
      <c r="O27">
        <v>60</v>
      </c>
      <c r="P27">
        <v>4</v>
      </c>
    </row>
    <row r="28" spans="1:16" x14ac:dyDescent="0.75">
      <c r="A28">
        <v>100</v>
      </c>
      <c r="B28" s="65">
        <f t="shared" si="12"/>
        <v>68.965517241379317</v>
      </c>
      <c r="C28" s="64">
        <f t="shared" si="13"/>
        <v>3.5517241379310343</v>
      </c>
      <c r="D28" s="64">
        <f t="shared" si="9"/>
        <v>3.5517241379310343</v>
      </c>
      <c r="E28" s="64">
        <f t="shared" si="9"/>
        <v>3.5517241379310343</v>
      </c>
      <c r="F28" s="65">
        <f t="shared" si="14"/>
        <v>57.142857142857139</v>
      </c>
      <c r="G28" s="64">
        <f t="shared" si="15"/>
        <v>4.2285714285714286</v>
      </c>
      <c r="H28" s="64">
        <f t="shared" si="15"/>
        <v>4.2285714285714286</v>
      </c>
      <c r="I28" s="64">
        <f t="shared" si="15"/>
        <v>4.2285714285714286</v>
      </c>
      <c r="J28" s="65">
        <f t="shared" si="16"/>
        <v>50</v>
      </c>
      <c r="K28" s="64">
        <f t="shared" si="17"/>
        <v>4.8</v>
      </c>
      <c r="L28" s="64">
        <f t="shared" si="17"/>
        <v>4.8</v>
      </c>
      <c r="M28" s="64">
        <f t="shared" si="17"/>
        <v>4.8</v>
      </c>
      <c r="O28">
        <v>70</v>
      </c>
      <c r="P28">
        <v>3.5</v>
      </c>
    </row>
    <row r="29" spans="1:16" x14ac:dyDescent="0.75">
      <c r="A29">
        <v>110</v>
      </c>
      <c r="B29" s="65">
        <f t="shared" si="12"/>
        <v>75.862068965517238</v>
      </c>
      <c r="C29" s="64">
        <f t="shared" si="13"/>
        <v>3.3241379310344827</v>
      </c>
      <c r="D29" s="64">
        <f t="shared" si="9"/>
        <v>3.3241379310344827</v>
      </c>
      <c r="E29" s="64">
        <f t="shared" si="9"/>
        <v>3.3241379310344827</v>
      </c>
      <c r="F29" s="65">
        <f t="shared" si="14"/>
        <v>62.857142857142854</v>
      </c>
      <c r="G29" s="64">
        <f t="shared" si="15"/>
        <v>3.8571428571428572</v>
      </c>
      <c r="H29" s="64">
        <f t="shared" si="15"/>
        <v>3.8571428571428572</v>
      </c>
      <c r="I29" s="64">
        <f t="shared" si="15"/>
        <v>3.8571428571428572</v>
      </c>
      <c r="J29" s="65">
        <f t="shared" si="16"/>
        <v>55.000000000000007</v>
      </c>
      <c r="K29" s="64">
        <f t="shared" si="17"/>
        <v>4.3999999999999995</v>
      </c>
      <c r="L29" s="64">
        <f t="shared" si="17"/>
        <v>4.3999999999999995</v>
      </c>
      <c r="M29" s="64">
        <f t="shared" si="17"/>
        <v>4.3999999999999995</v>
      </c>
      <c r="O29">
        <v>80</v>
      </c>
      <c r="P29">
        <v>3.2</v>
      </c>
    </row>
    <row r="30" spans="1:16" x14ac:dyDescent="0.75">
      <c r="A30">
        <v>120</v>
      </c>
      <c r="B30" s="65">
        <f t="shared" si="12"/>
        <v>82.758620689655174</v>
      </c>
      <c r="C30" s="64">
        <f t="shared" si="13"/>
        <v>3.0896551724137931</v>
      </c>
      <c r="D30" s="64">
        <f t="shared" si="9"/>
        <v>3.0896551724137931</v>
      </c>
      <c r="E30" s="64">
        <f t="shared" si="9"/>
        <v>3.0896551724137931</v>
      </c>
      <c r="F30" s="65">
        <f t="shared" si="14"/>
        <v>68.571428571428569</v>
      </c>
      <c r="G30" s="64">
        <f t="shared" si="15"/>
        <v>3.5714285714285716</v>
      </c>
      <c r="H30" s="64">
        <f t="shared" si="15"/>
        <v>3.5714285714285716</v>
      </c>
      <c r="I30" s="64">
        <f t="shared" si="15"/>
        <v>3.5714285714285716</v>
      </c>
      <c r="J30" s="65">
        <f t="shared" si="16"/>
        <v>60</v>
      </c>
      <c r="K30" s="64">
        <f t="shared" si="17"/>
        <v>4</v>
      </c>
      <c r="L30" s="64">
        <f t="shared" si="17"/>
        <v>4</v>
      </c>
      <c r="M30" s="64">
        <f t="shared" si="17"/>
        <v>4</v>
      </c>
      <c r="O30">
        <v>90</v>
      </c>
      <c r="P30">
        <v>2.8</v>
      </c>
    </row>
    <row r="31" spans="1:16" x14ac:dyDescent="0.75">
      <c r="A31">
        <v>130</v>
      </c>
      <c r="B31" s="65">
        <f t="shared" si="12"/>
        <v>89.65517241379311</v>
      </c>
      <c r="C31" s="64">
        <f t="shared" si="13"/>
        <v>2.8137931034482753</v>
      </c>
      <c r="D31" s="64">
        <f t="shared" si="9"/>
        <v>2.8137931034482753</v>
      </c>
      <c r="E31" s="64">
        <f t="shared" si="9"/>
        <v>2.8137931034482753</v>
      </c>
      <c r="F31" s="65">
        <f t="shared" si="14"/>
        <v>74.285714285714292</v>
      </c>
      <c r="G31" s="64">
        <f t="shared" si="15"/>
        <v>3.3714285714285714</v>
      </c>
      <c r="H31" s="64">
        <f t="shared" si="15"/>
        <v>3.3714285714285714</v>
      </c>
      <c r="I31" s="64">
        <f t="shared" si="15"/>
        <v>3.3714285714285714</v>
      </c>
      <c r="J31" s="65">
        <f t="shared" si="16"/>
        <v>65</v>
      </c>
      <c r="K31" s="64">
        <f t="shared" si="17"/>
        <v>3.75</v>
      </c>
      <c r="L31" s="64">
        <f t="shared" si="17"/>
        <v>3.75</v>
      </c>
      <c r="M31" s="64">
        <f t="shared" si="17"/>
        <v>3.75</v>
      </c>
      <c r="O31">
        <v>100</v>
      </c>
      <c r="P31">
        <v>2.6</v>
      </c>
    </row>
    <row r="32" spans="1:16" x14ac:dyDescent="0.75">
      <c r="A32">
        <v>140</v>
      </c>
      <c r="B32" s="65">
        <f t="shared" si="12"/>
        <v>96.551724137931032</v>
      </c>
      <c r="C32" s="64">
        <f t="shared" si="13"/>
        <v>2.6689655172413795</v>
      </c>
      <c r="D32" s="64">
        <f t="shared" si="9"/>
        <v>2.6689655172413795</v>
      </c>
      <c r="E32" s="64">
        <f t="shared" si="9"/>
        <v>2.6689655172413795</v>
      </c>
      <c r="F32" s="65">
        <f t="shared" si="14"/>
        <v>80</v>
      </c>
      <c r="G32" s="64">
        <f t="shared" si="15"/>
        <v>3.2</v>
      </c>
      <c r="H32" s="64">
        <f t="shared" si="15"/>
        <v>3.2</v>
      </c>
      <c r="I32" s="64">
        <f t="shared" si="15"/>
        <v>3.2</v>
      </c>
      <c r="J32" s="65">
        <f t="shared" si="16"/>
        <v>70</v>
      </c>
      <c r="K32" s="64">
        <f t="shared" si="17"/>
        <v>3.5</v>
      </c>
      <c r="L32" s="64">
        <f t="shared" si="17"/>
        <v>3.5</v>
      </c>
      <c r="M32" s="64">
        <f t="shared" si="17"/>
        <v>3.5</v>
      </c>
    </row>
    <row r="33" spans="1:14" x14ac:dyDescent="0.75">
      <c r="A33">
        <v>150</v>
      </c>
      <c r="B33" s="64"/>
      <c r="C33" s="64"/>
      <c r="D33" s="64"/>
      <c r="E33" s="64"/>
      <c r="F33" s="65">
        <f t="shared" si="14"/>
        <v>85.714285714285708</v>
      </c>
      <c r="G33" s="64">
        <f t="shared" si="15"/>
        <v>2.9714285714285715</v>
      </c>
      <c r="H33" s="64">
        <f t="shared" si="15"/>
        <v>2.9714285714285715</v>
      </c>
      <c r="I33" s="64">
        <f t="shared" si="15"/>
        <v>2.9714285714285715</v>
      </c>
      <c r="J33" s="65">
        <f t="shared" si="16"/>
        <v>75</v>
      </c>
      <c r="K33" s="64">
        <f t="shared" si="17"/>
        <v>3.35</v>
      </c>
      <c r="L33" s="64">
        <f t="shared" si="17"/>
        <v>3.35</v>
      </c>
      <c r="M33" s="64">
        <f t="shared" si="17"/>
        <v>3.35</v>
      </c>
    </row>
    <row r="34" spans="1:14" x14ac:dyDescent="0.75">
      <c r="A34">
        <v>160</v>
      </c>
      <c r="B34" s="64"/>
      <c r="C34" s="64"/>
      <c r="D34" s="64"/>
      <c r="E34" s="64"/>
      <c r="F34" s="65">
        <f t="shared" si="14"/>
        <v>91.428571428571431</v>
      </c>
      <c r="G34" s="64">
        <f t="shared" si="15"/>
        <v>2.7714285714285714</v>
      </c>
      <c r="H34" s="64">
        <f t="shared" si="15"/>
        <v>2.7714285714285714</v>
      </c>
      <c r="I34" s="64">
        <f t="shared" si="15"/>
        <v>2.7714285714285714</v>
      </c>
      <c r="J34" s="65">
        <f t="shared" si="16"/>
        <v>80</v>
      </c>
      <c r="K34" s="64">
        <f t="shared" si="17"/>
        <v>3.2</v>
      </c>
      <c r="L34" s="64">
        <f t="shared" si="17"/>
        <v>3.2</v>
      </c>
      <c r="M34" s="64">
        <f t="shared" si="17"/>
        <v>3.2</v>
      </c>
    </row>
    <row r="35" spans="1:14" x14ac:dyDescent="0.75">
      <c r="A35">
        <v>170</v>
      </c>
      <c r="B35" s="64"/>
      <c r="C35" s="64"/>
      <c r="D35" s="64"/>
      <c r="E35" s="64"/>
      <c r="F35" s="65">
        <f t="shared" si="14"/>
        <v>97.142857142857139</v>
      </c>
      <c r="G35" s="64">
        <f t="shared" si="15"/>
        <v>2.657142857142857</v>
      </c>
      <c r="H35" s="64">
        <f t="shared" si="15"/>
        <v>2.657142857142857</v>
      </c>
      <c r="I35" s="64">
        <f t="shared" si="15"/>
        <v>2.657142857142857</v>
      </c>
      <c r="J35" s="65">
        <f t="shared" si="16"/>
        <v>85</v>
      </c>
      <c r="K35" s="64">
        <f t="shared" si="17"/>
        <v>3</v>
      </c>
      <c r="L35" s="64">
        <f t="shared" si="17"/>
        <v>3</v>
      </c>
      <c r="M35" s="64">
        <f t="shared" si="17"/>
        <v>3</v>
      </c>
    </row>
    <row r="36" spans="1:14" x14ac:dyDescent="0.75">
      <c r="A36">
        <v>180</v>
      </c>
      <c r="B36" s="64"/>
      <c r="C36" s="64"/>
      <c r="D36" s="64"/>
      <c r="E36" s="64"/>
      <c r="F36" s="64"/>
      <c r="G36" s="64"/>
      <c r="H36" s="64"/>
      <c r="I36" s="64"/>
      <c r="J36" s="65">
        <f t="shared" si="16"/>
        <v>90</v>
      </c>
      <c r="K36" s="64">
        <f t="shared" si="17"/>
        <v>2.8</v>
      </c>
      <c r="L36" s="64">
        <f t="shared" si="17"/>
        <v>2.8</v>
      </c>
      <c r="M36" s="64">
        <f t="shared" si="17"/>
        <v>2.8</v>
      </c>
    </row>
    <row r="37" spans="1:14" x14ac:dyDescent="0.75">
      <c r="A37">
        <v>190</v>
      </c>
      <c r="B37" s="64"/>
      <c r="C37" s="64"/>
      <c r="D37" s="64"/>
      <c r="E37" s="64"/>
      <c r="F37" s="64"/>
      <c r="G37" s="64"/>
      <c r="H37" s="64"/>
      <c r="I37" s="64"/>
      <c r="J37" s="65">
        <f t="shared" si="16"/>
        <v>95</v>
      </c>
      <c r="K37" s="64">
        <f t="shared" si="17"/>
        <v>2.7</v>
      </c>
      <c r="L37" s="64">
        <f t="shared" si="17"/>
        <v>2.7</v>
      </c>
      <c r="M37" s="64">
        <f t="shared" si="17"/>
        <v>2.7</v>
      </c>
    </row>
    <row r="38" spans="1:14" x14ac:dyDescent="0.75">
      <c r="A38">
        <v>200</v>
      </c>
      <c r="B38" s="64"/>
      <c r="C38" s="64"/>
      <c r="D38" s="64"/>
      <c r="E38" s="64"/>
      <c r="F38" s="64"/>
      <c r="G38" s="64"/>
      <c r="H38" s="64"/>
      <c r="I38" s="64"/>
      <c r="J38" s="65">
        <v>99</v>
      </c>
      <c r="K38" s="64">
        <f t="shared" si="17"/>
        <v>2.62</v>
      </c>
      <c r="L38" s="64">
        <f t="shared" si="17"/>
        <v>2.62</v>
      </c>
      <c r="M38" s="64">
        <f t="shared" si="17"/>
        <v>2.62</v>
      </c>
    </row>
    <row r="41" spans="1:14" x14ac:dyDescent="0.75">
      <c r="A41" t="s">
        <v>175</v>
      </c>
      <c r="B41" s="98" t="s">
        <v>148</v>
      </c>
      <c r="C41" s="98"/>
      <c r="D41" s="98"/>
      <c r="E41" s="98"/>
      <c r="F41" s="98" t="s">
        <v>150</v>
      </c>
      <c r="G41" s="98"/>
      <c r="H41" s="98"/>
      <c r="I41" s="98"/>
      <c r="J41" s="98" t="s">
        <v>149</v>
      </c>
      <c r="K41" s="98"/>
      <c r="L41" s="98"/>
      <c r="M41" s="98"/>
    </row>
    <row r="42" spans="1:14" x14ac:dyDescent="0.75">
      <c r="A42" t="s">
        <v>146</v>
      </c>
      <c r="B42" t="s">
        <v>147</v>
      </c>
      <c r="C42" t="s">
        <v>157</v>
      </c>
      <c r="D42" t="s">
        <v>158</v>
      </c>
      <c r="E42" t="s">
        <v>159</v>
      </c>
      <c r="F42" t="s">
        <v>147</v>
      </c>
      <c r="G42" t="s">
        <v>157</v>
      </c>
      <c r="H42" t="s">
        <v>158</v>
      </c>
      <c r="I42" t="s">
        <v>159</v>
      </c>
      <c r="J42" t="s">
        <v>147</v>
      </c>
      <c r="K42" t="s">
        <v>157</v>
      </c>
      <c r="L42" t="s">
        <v>158</v>
      </c>
      <c r="M42" t="s">
        <v>159</v>
      </c>
    </row>
    <row r="43" spans="1:14" x14ac:dyDescent="0.75">
      <c r="A43">
        <v>50</v>
      </c>
      <c r="B43" s="65">
        <f>A43/145*100</f>
        <v>34.482758620689658</v>
      </c>
      <c r="C43" s="64">
        <f>(C23/100*A23)/C3</f>
        <v>9.5812807881773381</v>
      </c>
      <c r="D43" s="64">
        <f>(D23/100*A23)/D3</f>
        <v>6.706896551724137</v>
      </c>
      <c r="E43" s="64">
        <f>(E23/100*A23)/E3</f>
        <v>4.8777429467084632</v>
      </c>
      <c r="F43" s="65">
        <f>A43/175*100</f>
        <v>28.571428571428569</v>
      </c>
      <c r="G43" s="64">
        <f>(G23/100*A23)/G3</f>
        <v>7.9591836734693864</v>
      </c>
      <c r="H43" s="64">
        <f>(H23/100*A23)/H3</f>
        <v>5.0649350649350646</v>
      </c>
      <c r="I43" s="64">
        <f>(I23/100*A23)/I3</f>
        <v>3.714285714285714</v>
      </c>
      <c r="J43" s="65">
        <f>A43/200*100</f>
        <v>25</v>
      </c>
      <c r="K43" s="64">
        <f>(K23/100*A23)/K3</f>
        <v>7.1875000000000009</v>
      </c>
      <c r="L43" s="64">
        <f>(L23/100*A23)/L3</f>
        <v>4.791666666666667</v>
      </c>
      <c r="M43" s="64">
        <f>(M23/100*A23)/M3</f>
        <v>3.59375</v>
      </c>
      <c r="N43" s="64"/>
    </row>
    <row r="44" spans="1:14" x14ac:dyDescent="0.75">
      <c r="A44">
        <v>60</v>
      </c>
      <c r="B44" s="65">
        <f t="shared" ref="B44:B52" si="18">A44/145*100</f>
        <v>41.379310344827587</v>
      </c>
      <c r="C44" s="64">
        <f t="shared" ref="C44:C52" si="19">(C24/100*A24)/C4</f>
        <v>10.289655172413793</v>
      </c>
      <c r="D44" s="64">
        <f t="shared" ref="D44:D52" si="20">(D24/100*A24)/D4</f>
        <v>7.3497536945812811</v>
      </c>
      <c r="E44" s="64">
        <f t="shared" ref="E44:E52" si="21">(E24/100*A24)/E4</f>
        <v>5.4156079854809436</v>
      </c>
      <c r="F44" s="65">
        <f t="shared" ref="F44:F55" si="22">A44/175*100</f>
        <v>34.285714285714285</v>
      </c>
      <c r="G44" s="64">
        <f t="shared" ref="G44:G55" si="23">(G24/100*A24)/G4</f>
        <v>8.9523809523809526</v>
      </c>
      <c r="H44" s="64">
        <f t="shared" ref="H44:H55" si="24">(H24/100*A24)/H4</f>
        <v>5.7551020408163271</v>
      </c>
      <c r="I44" s="64">
        <f t="shared" ref="I44:I55" si="25">(I24/100*A24)/I4</f>
        <v>4.2406015037593994</v>
      </c>
      <c r="J44" s="65">
        <f t="shared" ref="J44:J58" si="26">A44/200*100</f>
        <v>30</v>
      </c>
      <c r="K44" s="64">
        <f t="shared" ref="K44:K58" si="27">(K24/100*A24)/K4</f>
        <v>7.8571428571428568</v>
      </c>
      <c r="L44" s="64">
        <f t="shared" ref="L44:L58" si="28">(L24/100*A24)/L4</f>
        <v>5.32258064516129</v>
      </c>
      <c r="M44" s="64">
        <f t="shared" ref="M44:M58" si="29">(M24/100*A24)/M4</f>
        <v>4.0243902439024382</v>
      </c>
      <c r="N44" s="64"/>
    </row>
    <row r="45" spans="1:14" x14ac:dyDescent="0.75">
      <c r="A45">
        <v>70</v>
      </c>
      <c r="B45" s="65">
        <f t="shared" si="18"/>
        <v>48.275862068965516</v>
      </c>
      <c r="C45" s="64">
        <f t="shared" si="19"/>
        <v>10.994438264738598</v>
      </c>
      <c r="D45" s="64">
        <f t="shared" si="20"/>
        <v>7.9262229350441054</v>
      </c>
      <c r="E45" s="64">
        <f t="shared" si="21"/>
        <v>5.8763376932223546</v>
      </c>
      <c r="F45" s="65">
        <f t="shared" si="22"/>
        <v>40</v>
      </c>
      <c r="G45" s="64">
        <f t="shared" si="23"/>
        <v>9.5789473684210549</v>
      </c>
      <c r="H45" s="64">
        <f t="shared" si="24"/>
        <v>6.2758620689655178</v>
      </c>
      <c r="I45" s="64">
        <f t="shared" si="25"/>
        <v>4.666666666666667</v>
      </c>
      <c r="J45" s="65">
        <f t="shared" si="26"/>
        <v>35</v>
      </c>
      <c r="K45" s="64">
        <f t="shared" si="27"/>
        <v>8.3222222222222229</v>
      </c>
      <c r="L45" s="64">
        <f t="shared" si="28"/>
        <v>5.7615384615384615</v>
      </c>
      <c r="M45" s="64">
        <f t="shared" si="29"/>
        <v>4.4058823529411759</v>
      </c>
      <c r="N45" s="64"/>
    </row>
    <row r="46" spans="1:14" x14ac:dyDescent="0.75">
      <c r="A46">
        <v>80</v>
      </c>
      <c r="B46" s="65">
        <f t="shared" si="18"/>
        <v>55.172413793103445</v>
      </c>
      <c r="C46" s="64">
        <f t="shared" si="19"/>
        <v>10.633228840125392</v>
      </c>
      <c r="D46" s="64">
        <f t="shared" si="20"/>
        <v>7.7977011494252872</v>
      </c>
      <c r="E46" s="64">
        <f t="shared" si="21"/>
        <v>5.8482758620689657</v>
      </c>
      <c r="F46" s="65">
        <f t="shared" si="22"/>
        <v>45.714285714285715</v>
      </c>
      <c r="G46" s="64">
        <f t="shared" si="23"/>
        <v>10.197802197802199</v>
      </c>
      <c r="H46" s="64">
        <f t="shared" si="24"/>
        <v>6.7409200968523013</v>
      </c>
      <c r="I46" s="64">
        <f t="shared" si="25"/>
        <v>5.0343580470162745</v>
      </c>
      <c r="J46" s="65">
        <f t="shared" si="26"/>
        <v>40</v>
      </c>
      <c r="K46" s="64">
        <f t="shared" si="27"/>
        <v>9.2444444444444454</v>
      </c>
      <c r="L46" s="64">
        <f t="shared" si="28"/>
        <v>6.4</v>
      </c>
      <c r="M46" s="64">
        <f t="shared" si="29"/>
        <v>4.894117647058823</v>
      </c>
      <c r="N46" s="64"/>
    </row>
    <row r="47" spans="1:14" x14ac:dyDescent="0.75">
      <c r="A47">
        <v>90</v>
      </c>
      <c r="B47" s="65">
        <f t="shared" si="18"/>
        <v>62.068965517241381</v>
      </c>
      <c r="C47" s="64">
        <f t="shared" si="19"/>
        <v>9.7413793103448274</v>
      </c>
      <c r="D47" s="64">
        <f t="shared" si="20"/>
        <v>7.3060344827586201</v>
      </c>
      <c r="E47" s="64">
        <f t="shared" si="21"/>
        <v>5.5665024630541868</v>
      </c>
      <c r="F47" s="65">
        <f t="shared" si="22"/>
        <v>51.428571428571423</v>
      </c>
      <c r="G47" s="64">
        <f t="shared" si="23"/>
        <v>10.285714285714286</v>
      </c>
      <c r="H47" s="64">
        <f t="shared" si="24"/>
        <v>6.9133489461358311</v>
      </c>
      <c r="I47" s="64">
        <f t="shared" si="25"/>
        <v>5.2063492063492056</v>
      </c>
      <c r="J47" s="65">
        <f t="shared" si="26"/>
        <v>45</v>
      </c>
      <c r="K47" s="64">
        <f t="shared" si="27"/>
        <v>9.375</v>
      </c>
      <c r="L47" s="64">
        <f t="shared" si="28"/>
        <v>6.617647058823529</v>
      </c>
      <c r="M47" s="64">
        <f t="shared" si="29"/>
        <v>5.1136363636363633</v>
      </c>
      <c r="N47" s="64"/>
    </row>
    <row r="48" spans="1:14" x14ac:dyDescent="0.75">
      <c r="A48">
        <v>100</v>
      </c>
      <c r="B48" s="65">
        <f t="shared" si="18"/>
        <v>68.965517241379317</v>
      </c>
      <c r="C48" s="64">
        <f t="shared" si="19"/>
        <v>9.3466424682395655</v>
      </c>
      <c r="D48" s="64">
        <f t="shared" si="20"/>
        <v>7.1034482758620694</v>
      </c>
      <c r="E48" s="64">
        <f t="shared" si="21"/>
        <v>5.4641909814323606</v>
      </c>
      <c r="F48" s="65">
        <f t="shared" si="22"/>
        <v>57.142857142857139</v>
      </c>
      <c r="G48" s="64">
        <f t="shared" si="23"/>
        <v>9.8338870431893692</v>
      </c>
      <c r="H48" s="64">
        <f t="shared" si="24"/>
        <v>6.7120181405895689</v>
      </c>
      <c r="I48" s="64">
        <f t="shared" si="25"/>
        <v>5.0946643717728053</v>
      </c>
      <c r="J48" s="65">
        <f t="shared" si="26"/>
        <v>50</v>
      </c>
      <c r="K48" s="64">
        <f t="shared" si="27"/>
        <v>9.6000000000000014</v>
      </c>
      <c r="L48" s="64">
        <f t="shared" si="28"/>
        <v>6.8571428571428577</v>
      </c>
      <c r="M48" s="64">
        <f t="shared" si="29"/>
        <v>5.3333333333333339</v>
      </c>
      <c r="N48" s="64"/>
    </row>
    <row r="49" spans="1:14" x14ac:dyDescent="0.75">
      <c r="A49">
        <v>110</v>
      </c>
      <c r="B49" s="65">
        <f t="shared" si="18"/>
        <v>75.862068965517238</v>
      </c>
      <c r="C49" s="64">
        <f t="shared" si="19"/>
        <v>9.6225045372050815</v>
      </c>
      <c r="D49" s="64">
        <f t="shared" si="20"/>
        <v>7.3131034482758617</v>
      </c>
      <c r="E49" s="64">
        <f t="shared" si="21"/>
        <v>5.6254641909814316</v>
      </c>
      <c r="F49" s="65">
        <f t="shared" si="22"/>
        <v>62.857142857142854</v>
      </c>
      <c r="G49" s="64">
        <f t="shared" si="23"/>
        <v>9.4285714285714288</v>
      </c>
      <c r="H49" s="64">
        <f t="shared" si="24"/>
        <v>6.5274725274725274</v>
      </c>
      <c r="I49" s="64">
        <f t="shared" si="25"/>
        <v>4.9915966386554613</v>
      </c>
      <c r="J49" s="65">
        <f t="shared" si="26"/>
        <v>55.000000000000007</v>
      </c>
      <c r="K49" s="64">
        <f t="shared" si="27"/>
        <v>8.9629629629629619</v>
      </c>
      <c r="L49" s="64">
        <f t="shared" si="28"/>
        <v>6.5405405405405403</v>
      </c>
      <c r="M49" s="64">
        <f t="shared" si="29"/>
        <v>5.1489361702127665</v>
      </c>
      <c r="N49" s="64"/>
    </row>
    <row r="50" spans="1:14" x14ac:dyDescent="0.75">
      <c r="A50">
        <v>120</v>
      </c>
      <c r="B50" s="65">
        <f t="shared" si="18"/>
        <v>82.758620689655174</v>
      </c>
      <c r="C50" s="64">
        <f t="shared" si="19"/>
        <v>10.298850574712645</v>
      </c>
      <c r="D50" s="64">
        <f t="shared" si="20"/>
        <v>7.7241379310344831</v>
      </c>
      <c r="E50" s="64">
        <f t="shared" si="21"/>
        <v>5.8850574712643677</v>
      </c>
      <c r="F50" s="65">
        <f t="shared" si="22"/>
        <v>68.571428571428569</v>
      </c>
      <c r="G50" s="64">
        <f t="shared" si="23"/>
        <v>9.5238095238095255</v>
      </c>
      <c r="H50" s="64">
        <f t="shared" si="24"/>
        <v>6.593406593406594</v>
      </c>
      <c r="I50" s="64">
        <f t="shared" si="25"/>
        <v>5.0420168067226898</v>
      </c>
      <c r="J50" s="65">
        <f t="shared" si="26"/>
        <v>60</v>
      </c>
      <c r="K50" s="64">
        <f t="shared" si="27"/>
        <v>8.7272727272727266</v>
      </c>
      <c r="L50" s="64">
        <f t="shared" si="28"/>
        <v>6.3999999999999995</v>
      </c>
      <c r="M50" s="64">
        <f t="shared" si="29"/>
        <v>5.0526315789473681</v>
      </c>
      <c r="N50" s="64"/>
    </row>
    <row r="51" spans="1:14" x14ac:dyDescent="0.75">
      <c r="A51">
        <v>130</v>
      </c>
      <c r="B51" s="65">
        <f t="shared" si="18"/>
        <v>89.65517241379311</v>
      </c>
      <c r="C51" s="64">
        <f t="shared" si="19"/>
        <v>12.19310344827586</v>
      </c>
      <c r="D51" s="64">
        <f t="shared" si="20"/>
        <v>8.7093596059113274</v>
      </c>
      <c r="E51" s="64">
        <f t="shared" si="21"/>
        <v>6.4174228675136105</v>
      </c>
      <c r="F51" s="65">
        <f t="shared" si="22"/>
        <v>74.285714285714292</v>
      </c>
      <c r="G51" s="64">
        <f t="shared" si="23"/>
        <v>9.9610389610389625</v>
      </c>
      <c r="H51" s="64">
        <f t="shared" si="24"/>
        <v>6.8482142857142865</v>
      </c>
      <c r="I51" s="64">
        <f t="shared" si="25"/>
        <v>5.2176870748299322</v>
      </c>
      <c r="J51" s="65">
        <f t="shared" si="26"/>
        <v>65</v>
      </c>
      <c r="K51" s="64">
        <f t="shared" si="27"/>
        <v>8.4051724137931032</v>
      </c>
      <c r="L51" s="64">
        <f t="shared" si="28"/>
        <v>6.25</v>
      </c>
      <c r="M51" s="64">
        <f t="shared" si="29"/>
        <v>4.9744897959183678</v>
      </c>
      <c r="N51" s="64"/>
    </row>
    <row r="52" spans="1:14" x14ac:dyDescent="0.75">
      <c r="A52">
        <v>140</v>
      </c>
      <c r="B52" s="65">
        <f t="shared" si="18"/>
        <v>96.551724137931032</v>
      </c>
      <c r="C52" s="64">
        <f t="shared" si="19"/>
        <v>16.245877061469269</v>
      </c>
      <c r="D52" s="64">
        <f t="shared" si="20"/>
        <v>10.675862068965518</v>
      </c>
      <c r="E52" s="64">
        <f t="shared" si="21"/>
        <v>7.4731034482758627</v>
      </c>
      <c r="F52" s="65">
        <f t="shared" si="22"/>
        <v>80</v>
      </c>
      <c r="G52" s="64">
        <f t="shared" si="23"/>
        <v>10.418604651162791</v>
      </c>
      <c r="H52" s="64">
        <f t="shared" si="24"/>
        <v>7.1111111111111116</v>
      </c>
      <c r="I52" s="64">
        <f t="shared" si="25"/>
        <v>5.3975903614457827</v>
      </c>
      <c r="J52" s="65">
        <f t="shared" si="26"/>
        <v>70</v>
      </c>
      <c r="K52" s="64">
        <f t="shared" si="27"/>
        <v>8.1666666666666661</v>
      </c>
      <c r="L52" s="64">
        <f t="shared" si="28"/>
        <v>6.125</v>
      </c>
      <c r="M52" s="64">
        <f t="shared" si="29"/>
        <v>4.9000000000000004</v>
      </c>
      <c r="N52" s="64"/>
    </row>
    <row r="53" spans="1:14" x14ac:dyDescent="0.75">
      <c r="A53">
        <v>150</v>
      </c>
      <c r="B53" s="64"/>
      <c r="C53" s="64"/>
      <c r="D53" s="64"/>
      <c r="E53" s="64"/>
      <c r="F53" s="65">
        <f t="shared" si="22"/>
        <v>85.714285714285708</v>
      </c>
      <c r="G53" s="64">
        <f t="shared" si="23"/>
        <v>10.612244897959185</v>
      </c>
      <c r="H53" s="64">
        <f t="shared" si="24"/>
        <v>7.1889400921658986</v>
      </c>
      <c r="I53" s="64">
        <f t="shared" si="25"/>
        <v>5.4355400696864109</v>
      </c>
      <c r="J53" s="65">
        <f t="shared" si="26"/>
        <v>75</v>
      </c>
      <c r="K53" s="64">
        <f t="shared" si="27"/>
        <v>8.375</v>
      </c>
      <c r="L53" s="64">
        <f t="shared" si="28"/>
        <v>6.28125</v>
      </c>
      <c r="M53" s="64">
        <f t="shared" si="29"/>
        <v>5.0250000000000004</v>
      </c>
      <c r="N53" s="64"/>
    </row>
    <row r="54" spans="1:14" x14ac:dyDescent="0.75">
      <c r="A54">
        <v>160</v>
      </c>
      <c r="B54" s="64"/>
      <c r="C54" s="64"/>
      <c r="D54" s="64"/>
      <c r="E54" s="64"/>
      <c r="F54" s="65">
        <f t="shared" si="22"/>
        <v>91.428571428571431</v>
      </c>
      <c r="G54" s="64">
        <f t="shared" si="23"/>
        <v>11.085714285714287</v>
      </c>
      <c r="H54" s="64">
        <f t="shared" si="24"/>
        <v>7.3904761904761909</v>
      </c>
      <c r="I54" s="64">
        <f t="shared" si="25"/>
        <v>5.5428571428571427</v>
      </c>
      <c r="J54" s="65">
        <f t="shared" si="26"/>
        <v>80</v>
      </c>
      <c r="K54" s="64">
        <f t="shared" si="27"/>
        <v>8.8275862068965516</v>
      </c>
      <c r="L54" s="64">
        <f t="shared" si="28"/>
        <v>6.5641025641025639</v>
      </c>
      <c r="M54" s="64">
        <f t="shared" si="29"/>
        <v>5.2244897959183678</v>
      </c>
      <c r="N54" s="64"/>
    </row>
    <row r="55" spans="1:14" x14ac:dyDescent="0.75">
      <c r="A55">
        <v>170</v>
      </c>
      <c r="B55" s="64"/>
      <c r="C55" s="64"/>
      <c r="D55" s="64"/>
      <c r="E55" s="64"/>
      <c r="F55" s="65">
        <f t="shared" si="22"/>
        <v>97.142857142857139</v>
      </c>
      <c r="G55" s="64">
        <f t="shared" si="23"/>
        <v>15.057142857142857</v>
      </c>
      <c r="H55" s="64">
        <f t="shared" si="24"/>
        <v>9.0342857142857138</v>
      </c>
      <c r="I55" s="64">
        <f t="shared" si="25"/>
        <v>6.4530612244897956</v>
      </c>
      <c r="J55" s="65">
        <f t="shared" si="26"/>
        <v>85</v>
      </c>
      <c r="K55" s="64">
        <f t="shared" si="27"/>
        <v>9.8076923076923066</v>
      </c>
      <c r="L55" s="64">
        <f t="shared" si="28"/>
        <v>7.083333333333333</v>
      </c>
      <c r="M55" s="64">
        <f t="shared" si="29"/>
        <v>5.5434782608695654</v>
      </c>
      <c r="N55" s="64"/>
    </row>
    <row r="56" spans="1:14" x14ac:dyDescent="0.75">
      <c r="A56">
        <v>180</v>
      </c>
      <c r="B56" s="64"/>
      <c r="C56" s="64"/>
      <c r="D56" s="64"/>
      <c r="E56" s="64"/>
      <c r="F56" s="64"/>
      <c r="G56" s="64"/>
      <c r="H56" s="64"/>
      <c r="I56" s="64"/>
      <c r="J56" s="65">
        <f t="shared" si="26"/>
        <v>90</v>
      </c>
      <c r="K56" s="64">
        <f t="shared" si="27"/>
        <v>10.499999999999998</v>
      </c>
      <c r="L56" s="64">
        <f t="shared" si="28"/>
        <v>7.4117647058823515</v>
      </c>
      <c r="M56" s="64">
        <f t="shared" si="29"/>
        <v>5.7272727272727257</v>
      </c>
      <c r="N56" s="64"/>
    </row>
    <row r="57" spans="1:14" x14ac:dyDescent="0.75">
      <c r="A57">
        <v>190</v>
      </c>
      <c r="B57" s="64"/>
      <c r="C57" s="64"/>
      <c r="D57" s="64"/>
      <c r="E57" s="64"/>
      <c r="F57" s="64"/>
      <c r="G57" s="64"/>
      <c r="H57" s="64"/>
      <c r="I57" s="64"/>
      <c r="J57" s="65">
        <f t="shared" si="26"/>
        <v>95</v>
      </c>
      <c r="K57" s="64">
        <f t="shared" si="27"/>
        <v>12.214285714285717</v>
      </c>
      <c r="L57" s="64">
        <f t="shared" si="28"/>
        <v>8.2741935483870979</v>
      </c>
      <c r="M57" s="64">
        <f t="shared" si="29"/>
        <v>6.2560975609756104</v>
      </c>
      <c r="N57" s="64"/>
    </row>
    <row r="58" spans="1:14" x14ac:dyDescent="0.75">
      <c r="A58">
        <v>200</v>
      </c>
      <c r="B58" s="64"/>
      <c r="C58" s="64"/>
      <c r="D58" s="64"/>
      <c r="E58" s="64"/>
      <c r="F58" s="64"/>
      <c r="G58" s="64"/>
      <c r="H58" s="64"/>
      <c r="I58" s="64"/>
      <c r="J58" s="65">
        <f t="shared" si="26"/>
        <v>100</v>
      </c>
      <c r="K58" s="64">
        <f t="shared" si="27"/>
        <v>14.97142857142857</v>
      </c>
      <c r="L58" s="64">
        <f t="shared" si="28"/>
        <v>9.5272727272727273</v>
      </c>
      <c r="M58" s="64">
        <f t="shared" si="29"/>
        <v>6.9866666666666672</v>
      </c>
      <c r="N58" s="64"/>
    </row>
    <row r="60" spans="1:14" x14ac:dyDescent="0.75">
      <c r="A60" t="s">
        <v>176</v>
      </c>
      <c r="B60" s="98" t="s">
        <v>148</v>
      </c>
      <c r="C60" s="98"/>
      <c r="D60" s="98"/>
      <c r="E60" s="98"/>
      <c r="F60" s="98" t="s">
        <v>150</v>
      </c>
      <c r="G60" s="98"/>
      <c r="H60" s="98"/>
      <c r="I60" s="98"/>
      <c r="J60" s="98" t="s">
        <v>149</v>
      </c>
      <c r="K60" s="98"/>
      <c r="L60" s="98"/>
      <c r="M60" s="98"/>
    </row>
    <row r="61" spans="1:14" x14ac:dyDescent="0.75">
      <c r="A61" t="s">
        <v>146</v>
      </c>
      <c r="B61" t="s">
        <v>147</v>
      </c>
      <c r="C61" t="s">
        <v>154</v>
      </c>
      <c r="D61" t="s">
        <v>155</v>
      </c>
      <c r="E61" t="s">
        <v>156</v>
      </c>
      <c r="F61" t="s">
        <v>147</v>
      </c>
      <c r="G61" t="s">
        <v>154</v>
      </c>
      <c r="H61" t="s">
        <v>155</v>
      </c>
      <c r="I61" t="s">
        <v>156</v>
      </c>
      <c r="J61" t="s">
        <v>147</v>
      </c>
      <c r="K61" t="s">
        <v>154</v>
      </c>
      <c r="L61" t="s">
        <v>155</v>
      </c>
      <c r="M61" t="s">
        <v>156</v>
      </c>
    </row>
    <row r="62" spans="1:14" x14ac:dyDescent="0.75">
      <c r="A62">
        <v>50</v>
      </c>
      <c r="B62" s="65">
        <f>A62/145*100</f>
        <v>34.482758620689658</v>
      </c>
      <c r="C62" s="64">
        <f>0.04*145/2.204*$B62/100*(1.7-$B62/100)*2.204</f>
        <v>2.7103448275862068</v>
      </c>
      <c r="D62" s="64">
        <f t="shared" ref="D62:E71" si="30">0.04*145/2.204*$B62/100*(1.7-$B62/100)*2.204</f>
        <v>2.7103448275862068</v>
      </c>
      <c r="E62" s="64">
        <f t="shared" si="30"/>
        <v>2.7103448275862068</v>
      </c>
      <c r="F62" s="65">
        <f>A62/175*100</f>
        <v>28.571428571428569</v>
      </c>
      <c r="G62" s="64">
        <f>0.04*175/2.204*$F62/100*(1.7-$F62/100)*2.204</f>
        <v>2.8285714285714283</v>
      </c>
      <c r="H62" s="64">
        <f t="shared" ref="H62:I74" si="31">0.04*175/2.204*$F62/100*(1.7-$F62/100)*2.204</f>
        <v>2.8285714285714283</v>
      </c>
      <c r="I62" s="64">
        <f t="shared" si="31"/>
        <v>2.8285714285714283</v>
      </c>
      <c r="J62" s="65">
        <f>A62/200*100</f>
        <v>25</v>
      </c>
      <c r="K62" s="64">
        <f>0.04*200/2.204*$J62/100*(1.7-$J62/100)*2.204</f>
        <v>2.9</v>
      </c>
      <c r="L62" s="64">
        <f t="shared" ref="L62:M77" si="32">0.04*200/2.204*$J62/100*(1.7-$J62/100)*2.204</f>
        <v>2.9</v>
      </c>
      <c r="M62" s="64">
        <f t="shared" si="32"/>
        <v>2.9</v>
      </c>
    </row>
    <row r="63" spans="1:14" x14ac:dyDescent="0.75">
      <c r="A63">
        <v>60</v>
      </c>
      <c r="B63" s="65">
        <f t="shared" ref="B63:B71" si="33">A63/145*100</f>
        <v>41.379310344827587</v>
      </c>
      <c r="C63" s="64">
        <f t="shared" ref="C63:C71" si="34">0.04*145/2.204*$B63/100*(1.7-$B63/100)*2.204</f>
        <v>3.0868965517241378</v>
      </c>
      <c r="D63" s="64">
        <f t="shared" si="30"/>
        <v>3.0868965517241378</v>
      </c>
      <c r="E63" s="64">
        <f t="shared" si="30"/>
        <v>3.0868965517241378</v>
      </c>
      <c r="F63" s="65">
        <f t="shared" ref="F63:F74" si="35">A63/175*100</f>
        <v>34.285714285714285</v>
      </c>
      <c r="G63" s="64">
        <f t="shared" ref="G63:G74" si="36">0.04*175/2.204*$F63/100*(1.7-$F63/100)*2.204</f>
        <v>3.2571428571428576</v>
      </c>
      <c r="H63" s="64">
        <f t="shared" si="31"/>
        <v>3.2571428571428576</v>
      </c>
      <c r="I63" s="64">
        <f t="shared" si="31"/>
        <v>3.2571428571428576</v>
      </c>
      <c r="J63" s="65">
        <f t="shared" ref="J63:J76" si="37">A63/200*100</f>
        <v>30</v>
      </c>
      <c r="K63" s="64">
        <f t="shared" ref="K63:K77" si="38">0.04*200/2.204*$J63/100*(1.7-$J63/100)*2.204</f>
        <v>3.36</v>
      </c>
      <c r="L63" s="64">
        <f t="shared" si="32"/>
        <v>3.36</v>
      </c>
      <c r="M63" s="64">
        <f t="shared" si="32"/>
        <v>3.36</v>
      </c>
    </row>
    <row r="64" spans="1:14" x14ac:dyDescent="0.75">
      <c r="A64">
        <v>70</v>
      </c>
      <c r="B64" s="65">
        <f t="shared" si="33"/>
        <v>48.275862068965516</v>
      </c>
      <c r="C64" s="64">
        <f t="shared" si="34"/>
        <v>3.4082758620689657</v>
      </c>
      <c r="D64" s="64">
        <f t="shared" si="30"/>
        <v>3.4082758620689657</v>
      </c>
      <c r="E64" s="64">
        <f t="shared" si="30"/>
        <v>3.4082758620689657</v>
      </c>
      <c r="F64" s="65">
        <f t="shared" si="35"/>
        <v>40</v>
      </c>
      <c r="G64" s="64">
        <f t="shared" si="36"/>
        <v>3.6399999999999997</v>
      </c>
      <c r="H64" s="64">
        <f t="shared" si="31"/>
        <v>3.6399999999999997</v>
      </c>
      <c r="I64" s="64">
        <f t="shared" si="31"/>
        <v>3.6399999999999997</v>
      </c>
      <c r="J64" s="65">
        <f t="shared" si="37"/>
        <v>35</v>
      </c>
      <c r="K64" s="64">
        <f t="shared" si="38"/>
        <v>3.7800000000000007</v>
      </c>
      <c r="L64" s="64">
        <f t="shared" si="32"/>
        <v>3.7800000000000007</v>
      </c>
      <c r="M64" s="64">
        <f t="shared" si="32"/>
        <v>3.7800000000000007</v>
      </c>
    </row>
    <row r="65" spans="1:13" x14ac:dyDescent="0.75">
      <c r="A65">
        <v>80</v>
      </c>
      <c r="B65" s="65">
        <f t="shared" si="33"/>
        <v>55.172413793103445</v>
      </c>
      <c r="C65" s="64">
        <f t="shared" si="34"/>
        <v>3.6744827586206892</v>
      </c>
      <c r="D65" s="64">
        <f t="shared" si="30"/>
        <v>3.6744827586206892</v>
      </c>
      <c r="E65" s="64">
        <f t="shared" si="30"/>
        <v>3.6744827586206892</v>
      </c>
      <c r="F65" s="65">
        <f t="shared" si="35"/>
        <v>45.714285714285715</v>
      </c>
      <c r="G65" s="64">
        <f t="shared" si="36"/>
        <v>3.9771428571428578</v>
      </c>
      <c r="H65" s="64">
        <f t="shared" si="31"/>
        <v>3.9771428571428578</v>
      </c>
      <c r="I65" s="64">
        <f t="shared" si="31"/>
        <v>3.9771428571428578</v>
      </c>
      <c r="J65" s="65">
        <f t="shared" si="37"/>
        <v>40</v>
      </c>
      <c r="K65" s="64">
        <f t="shared" si="38"/>
        <v>4.16</v>
      </c>
      <c r="L65" s="64">
        <f t="shared" si="32"/>
        <v>4.16</v>
      </c>
      <c r="M65" s="64">
        <f t="shared" si="32"/>
        <v>4.16</v>
      </c>
    </row>
    <row r="66" spans="1:13" x14ac:dyDescent="0.75">
      <c r="A66">
        <v>90</v>
      </c>
      <c r="B66" s="65">
        <f t="shared" si="33"/>
        <v>62.068965517241381</v>
      </c>
      <c r="C66" s="64">
        <f t="shared" si="34"/>
        <v>3.88551724137931</v>
      </c>
      <c r="D66" s="64">
        <f t="shared" si="30"/>
        <v>3.88551724137931</v>
      </c>
      <c r="E66" s="64">
        <f t="shared" si="30"/>
        <v>3.88551724137931</v>
      </c>
      <c r="F66" s="65">
        <f t="shared" si="35"/>
        <v>51.428571428571423</v>
      </c>
      <c r="G66" s="64">
        <f t="shared" si="36"/>
        <v>4.2685714285714278</v>
      </c>
      <c r="H66" s="64">
        <f t="shared" si="31"/>
        <v>4.2685714285714278</v>
      </c>
      <c r="I66" s="64">
        <f t="shared" si="31"/>
        <v>4.2685714285714278</v>
      </c>
      <c r="J66" s="65">
        <f t="shared" si="37"/>
        <v>45</v>
      </c>
      <c r="K66" s="64">
        <f t="shared" si="38"/>
        <v>4.5000000000000009</v>
      </c>
      <c r="L66" s="64">
        <f t="shared" si="32"/>
        <v>4.5000000000000009</v>
      </c>
      <c r="M66" s="64">
        <f t="shared" si="32"/>
        <v>4.5000000000000009</v>
      </c>
    </row>
    <row r="67" spans="1:13" x14ac:dyDescent="0.75">
      <c r="A67">
        <v>100</v>
      </c>
      <c r="B67" s="65">
        <f t="shared" si="33"/>
        <v>68.965517241379317</v>
      </c>
      <c r="C67" s="64">
        <f t="shared" si="34"/>
        <v>4.0413793103448272</v>
      </c>
      <c r="D67" s="64">
        <f t="shared" si="30"/>
        <v>4.0413793103448272</v>
      </c>
      <c r="E67" s="64">
        <f t="shared" si="30"/>
        <v>4.0413793103448272</v>
      </c>
      <c r="F67" s="65">
        <f t="shared" si="35"/>
        <v>57.142857142857139</v>
      </c>
      <c r="G67" s="64">
        <f t="shared" si="36"/>
        <v>4.5142857142857151</v>
      </c>
      <c r="H67" s="64">
        <f t="shared" si="31"/>
        <v>4.5142857142857151</v>
      </c>
      <c r="I67" s="64">
        <f t="shared" si="31"/>
        <v>4.5142857142857151</v>
      </c>
      <c r="J67" s="65">
        <f t="shared" si="37"/>
        <v>50</v>
      </c>
      <c r="K67" s="64">
        <f t="shared" si="38"/>
        <v>4.8</v>
      </c>
      <c r="L67" s="64">
        <f t="shared" si="32"/>
        <v>4.8</v>
      </c>
      <c r="M67" s="64">
        <f t="shared" si="32"/>
        <v>4.8</v>
      </c>
    </row>
    <row r="68" spans="1:13" x14ac:dyDescent="0.75">
      <c r="A68">
        <v>110</v>
      </c>
      <c r="B68" s="65">
        <f t="shared" si="33"/>
        <v>75.862068965517238</v>
      </c>
      <c r="C68" s="64">
        <f t="shared" si="34"/>
        <v>4.1420689655172414</v>
      </c>
      <c r="D68" s="64">
        <f t="shared" si="30"/>
        <v>4.1420689655172414</v>
      </c>
      <c r="E68" s="64">
        <f t="shared" si="30"/>
        <v>4.1420689655172414</v>
      </c>
      <c r="F68" s="65">
        <f t="shared" si="35"/>
        <v>62.857142857142854</v>
      </c>
      <c r="G68" s="64">
        <f t="shared" si="36"/>
        <v>4.7142857142857144</v>
      </c>
      <c r="H68" s="64">
        <f t="shared" si="31"/>
        <v>4.7142857142857144</v>
      </c>
      <c r="I68" s="64">
        <f t="shared" si="31"/>
        <v>4.7142857142857144</v>
      </c>
      <c r="J68" s="65">
        <f t="shared" si="37"/>
        <v>55.000000000000007</v>
      </c>
      <c r="K68" s="64">
        <f t="shared" si="38"/>
        <v>5.0600000000000005</v>
      </c>
      <c r="L68" s="64">
        <f t="shared" si="32"/>
        <v>5.0600000000000005</v>
      </c>
      <c r="M68" s="64">
        <f t="shared" si="32"/>
        <v>5.0600000000000005</v>
      </c>
    </row>
    <row r="69" spans="1:13" x14ac:dyDescent="0.75">
      <c r="A69">
        <v>120</v>
      </c>
      <c r="B69" s="65">
        <f t="shared" si="33"/>
        <v>82.758620689655174</v>
      </c>
      <c r="C69" s="64">
        <f t="shared" si="34"/>
        <v>4.187586206896551</v>
      </c>
      <c r="D69" s="64">
        <f t="shared" si="30"/>
        <v>4.187586206896551</v>
      </c>
      <c r="E69" s="64">
        <f t="shared" si="30"/>
        <v>4.187586206896551</v>
      </c>
      <c r="F69" s="65">
        <f t="shared" si="35"/>
        <v>68.571428571428569</v>
      </c>
      <c r="G69" s="64">
        <f t="shared" si="36"/>
        <v>4.8685714285714283</v>
      </c>
      <c r="H69" s="64">
        <f t="shared" si="31"/>
        <v>4.8685714285714283</v>
      </c>
      <c r="I69" s="64">
        <f t="shared" si="31"/>
        <v>4.8685714285714283</v>
      </c>
      <c r="J69" s="65">
        <f t="shared" si="37"/>
        <v>60</v>
      </c>
      <c r="K69" s="64">
        <f t="shared" si="38"/>
        <v>5.28</v>
      </c>
      <c r="L69" s="64">
        <f t="shared" si="32"/>
        <v>5.28</v>
      </c>
      <c r="M69" s="64">
        <f t="shared" si="32"/>
        <v>5.28</v>
      </c>
    </row>
    <row r="70" spans="1:13" x14ac:dyDescent="0.75">
      <c r="A70">
        <v>130</v>
      </c>
      <c r="B70" s="65">
        <f t="shared" si="33"/>
        <v>89.65517241379311</v>
      </c>
      <c r="C70" s="64">
        <f t="shared" si="34"/>
        <v>4.1779310344827589</v>
      </c>
      <c r="D70" s="64">
        <f t="shared" si="30"/>
        <v>4.1779310344827589</v>
      </c>
      <c r="E70" s="64">
        <f t="shared" si="30"/>
        <v>4.1779310344827589</v>
      </c>
      <c r="F70" s="65">
        <f t="shared" si="35"/>
        <v>74.285714285714292</v>
      </c>
      <c r="G70" s="64">
        <f t="shared" si="36"/>
        <v>4.9771428571428569</v>
      </c>
      <c r="H70" s="64">
        <f t="shared" si="31"/>
        <v>4.9771428571428569</v>
      </c>
      <c r="I70" s="64">
        <f t="shared" si="31"/>
        <v>4.9771428571428569</v>
      </c>
      <c r="J70" s="65">
        <f t="shared" si="37"/>
        <v>65</v>
      </c>
      <c r="K70" s="64">
        <f t="shared" si="38"/>
        <v>5.4599999999999991</v>
      </c>
      <c r="L70" s="64">
        <f t="shared" si="32"/>
        <v>5.4599999999999991</v>
      </c>
      <c r="M70" s="64">
        <f t="shared" si="32"/>
        <v>5.4599999999999991</v>
      </c>
    </row>
    <row r="71" spans="1:13" x14ac:dyDescent="0.75">
      <c r="A71">
        <v>140</v>
      </c>
      <c r="B71" s="65">
        <f t="shared" si="33"/>
        <v>96.551724137931032</v>
      </c>
      <c r="C71" s="64">
        <f t="shared" si="34"/>
        <v>4.1131034482758615</v>
      </c>
      <c r="D71" s="64">
        <f t="shared" si="30"/>
        <v>4.1131034482758615</v>
      </c>
      <c r="E71" s="64">
        <f t="shared" si="30"/>
        <v>4.1131034482758615</v>
      </c>
      <c r="F71" s="65">
        <f t="shared" si="35"/>
        <v>80</v>
      </c>
      <c r="G71" s="64">
        <f t="shared" si="36"/>
        <v>5.0399999999999991</v>
      </c>
      <c r="H71" s="64">
        <f t="shared" si="31"/>
        <v>5.0399999999999991</v>
      </c>
      <c r="I71" s="64">
        <f t="shared" si="31"/>
        <v>5.0399999999999991</v>
      </c>
      <c r="J71" s="65">
        <f t="shared" si="37"/>
        <v>70</v>
      </c>
      <c r="K71" s="64">
        <f t="shared" si="38"/>
        <v>5.6000000000000005</v>
      </c>
      <c r="L71" s="64">
        <f t="shared" si="32"/>
        <v>5.6000000000000005</v>
      </c>
      <c r="M71" s="64">
        <f t="shared" si="32"/>
        <v>5.6000000000000005</v>
      </c>
    </row>
    <row r="72" spans="1:13" x14ac:dyDescent="0.75">
      <c r="A72">
        <v>150</v>
      </c>
      <c r="B72" s="64"/>
      <c r="C72" s="64"/>
      <c r="D72" s="64"/>
      <c r="E72" s="64"/>
      <c r="F72" s="65">
        <f t="shared" si="35"/>
        <v>85.714285714285708</v>
      </c>
      <c r="G72" s="64">
        <f t="shared" si="36"/>
        <v>5.0571428571428578</v>
      </c>
      <c r="H72" s="64">
        <f t="shared" si="31"/>
        <v>5.0571428571428578</v>
      </c>
      <c r="I72" s="64">
        <f t="shared" si="31"/>
        <v>5.0571428571428578</v>
      </c>
      <c r="J72" s="65">
        <f t="shared" si="37"/>
        <v>75</v>
      </c>
      <c r="K72" s="64">
        <f t="shared" si="38"/>
        <v>5.7</v>
      </c>
      <c r="L72" s="64">
        <f t="shared" si="32"/>
        <v>5.7</v>
      </c>
      <c r="M72" s="64">
        <f t="shared" si="32"/>
        <v>5.7</v>
      </c>
    </row>
    <row r="73" spans="1:13" x14ac:dyDescent="0.75">
      <c r="A73">
        <v>160</v>
      </c>
      <c r="B73" s="64"/>
      <c r="C73" s="64"/>
      <c r="D73" s="64"/>
      <c r="E73" s="64"/>
      <c r="F73" s="65">
        <f t="shared" si="35"/>
        <v>91.428571428571431</v>
      </c>
      <c r="G73" s="64">
        <f t="shared" si="36"/>
        <v>5.0285714285714294</v>
      </c>
      <c r="H73" s="64">
        <f t="shared" si="31"/>
        <v>5.0285714285714294</v>
      </c>
      <c r="I73" s="64">
        <f t="shared" si="31"/>
        <v>5.0285714285714294</v>
      </c>
      <c r="J73" s="65">
        <f t="shared" si="37"/>
        <v>80</v>
      </c>
      <c r="K73" s="64">
        <f t="shared" si="38"/>
        <v>5.76</v>
      </c>
      <c r="L73" s="64">
        <f t="shared" si="32"/>
        <v>5.76</v>
      </c>
      <c r="M73" s="64">
        <f t="shared" si="32"/>
        <v>5.76</v>
      </c>
    </row>
    <row r="74" spans="1:13" x14ac:dyDescent="0.75">
      <c r="A74">
        <v>170</v>
      </c>
      <c r="B74" s="64"/>
      <c r="C74" s="64"/>
      <c r="D74" s="64"/>
      <c r="E74" s="64"/>
      <c r="F74" s="65">
        <f t="shared" si="35"/>
        <v>97.142857142857139</v>
      </c>
      <c r="G74" s="64">
        <f t="shared" si="36"/>
        <v>4.9542857142857137</v>
      </c>
      <c r="H74" s="64">
        <f t="shared" si="31"/>
        <v>4.9542857142857137</v>
      </c>
      <c r="I74" s="64">
        <f t="shared" si="31"/>
        <v>4.9542857142857137</v>
      </c>
      <c r="J74" s="65">
        <f t="shared" si="37"/>
        <v>85</v>
      </c>
      <c r="K74" s="64">
        <f t="shared" si="38"/>
        <v>5.78</v>
      </c>
      <c r="L74" s="64">
        <f t="shared" si="32"/>
        <v>5.78</v>
      </c>
      <c r="M74" s="64">
        <f t="shared" si="32"/>
        <v>5.78</v>
      </c>
    </row>
    <row r="75" spans="1:13" x14ac:dyDescent="0.75">
      <c r="A75">
        <v>180</v>
      </c>
      <c r="B75" s="64"/>
      <c r="C75" s="64"/>
      <c r="D75" s="64"/>
      <c r="E75" s="64"/>
      <c r="F75" s="64"/>
      <c r="G75" s="64"/>
      <c r="H75" s="64"/>
      <c r="I75" s="64"/>
      <c r="J75" s="65">
        <f t="shared" si="37"/>
        <v>90</v>
      </c>
      <c r="K75" s="64">
        <f t="shared" si="38"/>
        <v>5.76</v>
      </c>
      <c r="L75" s="64">
        <f t="shared" si="32"/>
        <v>5.76</v>
      </c>
      <c r="M75" s="64">
        <f t="shared" si="32"/>
        <v>5.76</v>
      </c>
    </row>
    <row r="76" spans="1:13" x14ac:dyDescent="0.75">
      <c r="A76">
        <v>190</v>
      </c>
      <c r="B76" s="64"/>
      <c r="C76" s="64"/>
      <c r="D76" s="64"/>
      <c r="E76" s="64"/>
      <c r="F76" s="64"/>
      <c r="G76" s="64"/>
      <c r="H76" s="64"/>
      <c r="I76" s="64"/>
      <c r="J76" s="65">
        <f t="shared" si="37"/>
        <v>95</v>
      </c>
      <c r="K76" s="64">
        <f t="shared" si="38"/>
        <v>5.7</v>
      </c>
      <c r="L76" s="64">
        <f t="shared" si="32"/>
        <v>5.7</v>
      </c>
      <c r="M76" s="64">
        <f t="shared" si="32"/>
        <v>5.7</v>
      </c>
    </row>
    <row r="77" spans="1:13" x14ac:dyDescent="0.75">
      <c r="A77">
        <v>200</v>
      </c>
      <c r="B77" s="64"/>
      <c r="C77" s="64"/>
      <c r="D77" s="64"/>
      <c r="E77" s="64"/>
      <c r="F77" s="64"/>
      <c r="G77" s="64"/>
      <c r="H77" s="64"/>
      <c r="I77" s="64"/>
      <c r="J77" s="65">
        <v>99</v>
      </c>
      <c r="K77" s="64">
        <f t="shared" si="38"/>
        <v>5.6232000000000006</v>
      </c>
      <c r="L77" s="64">
        <f t="shared" si="32"/>
        <v>5.6232000000000006</v>
      </c>
      <c r="M77" s="64">
        <f t="shared" si="32"/>
        <v>5.6232000000000006</v>
      </c>
    </row>
    <row r="79" spans="1:13" x14ac:dyDescent="0.75">
      <c r="A79" t="s">
        <v>176</v>
      </c>
      <c r="B79" s="98" t="s">
        <v>148</v>
      </c>
      <c r="C79" s="98"/>
      <c r="D79" s="98"/>
      <c r="E79" s="98"/>
      <c r="F79" s="98" t="s">
        <v>150</v>
      </c>
      <c r="G79" s="98"/>
      <c r="H79" s="98"/>
      <c r="I79" s="98"/>
      <c r="J79" s="98" t="s">
        <v>149</v>
      </c>
      <c r="K79" s="98"/>
      <c r="L79" s="98"/>
      <c r="M79" s="98"/>
    </row>
    <row r="80" spans="1:13" x14ac:dyDescent="0.75">
      <c r="A80" t="s">
        <v>146</v>
      </c>
      <c r="B80" t="s">
        <v>147</v>
      </c>
      <c r="C80" t="s">
        <v>157</v>
      </c>
      <c r="D80" t="s">
        <v>158</v>
      </c>
      <c r="E80" t="s">
        <v>159</v>
      </c>
      <c r="F80" t="s">
        <v>147</v>
      </c>
      <c r="G80" t="s">
        <v>157</v>
      </c>
      <c r="H80" t="s">
        <v>158</v>
      </c>
      <c r="I80" t="s">
        <v>159</v>
      </c>
      <c r="J80" t="s">
        <v>147</v>
      </c>
      <c r="K80" t="s">
        <v>157</v>
      </c>
      <c r="L80" t="s">
        <v>158</v>
      </c>
      <c r="M80" t="s">
        <v>159</v>
      </c>
    </row>
    <row r="81" spans="1:13" x14ac:dyDescent="0.75">
      <c r="A81">
        <v>50</v>
      </c>
      <c r="B81" s="65">
        <f>A81/145*100</f>
        <v>34.482758620689658</v>
      </c>
      <c r="C81" s="64">
        <f>C62/C3</f>
        <v>9.6798029556650231</v>
      </c>
      <c r="D81" s="64">
        <f t="shared" ref="D81:E81" si="39">D62/D3</f>
        <v>6.7758620689655169</v>
      </c>
      <c r="E81" s="64">
        <f t="shared" si="39"/>
        <v>4.9278996865203757</v>
      </c>
      <c r="F81" s="65">
        <f>A81/175*100</f>
        <v>28.571428571428569</v>
      </c>
      <c r="G81" s="64">
        <f>G62/G3</f>
        <v>8.0816326530612237</v>
      </c>
      <c r="H81" s="64">
        <f t="shared" ref="H81:I81" si="40">H62/H3</f>
        <v>5.1428571428571423</v>
      </c>
      <c r="I81" s="64">
        <f t="shared" si="40"/>
        <v>3.7714285714285709</v>
      </c>
      <c r="J81" s="65">
        <f>A81/200*100</f>
        <v>25</v>
      </c>
      <c r="K81" s="64">
        <f>K62/K3</f>
        <v>7.25</v>
      </c>
      <c r="L81" s="64">
        <f t="shared" ref="L81:M81" si="41">L62/L3</f>
        <v>4.833333333333333</v>
      </c>
      <c r="M81" s="64">
        <f t="shared" si="41"/>
        <v>3.6249999999999996</v>
      </c>
    </row>
    <row r="82" spans="1:13" x14ac:dyDescent="0.75">
      <c r="A82">
        <v>60</v>
      </c>
      <c r="B82" s="65">
        <f t="shared" ref="B82:B90" si="42">A82/145*100</f>
        <v>41.379310344827587</v>
      </c>
      <c r="C82" s="64">
        <f t="shared" ref="C82:E82" si="43">C63/C4</f>
        <v>10.289655172413793</v>
      </c>
      <c r="D82" s="64">
        <f t="shared" si="43"/>
        <v>7.3497536945812811</v>
      </c>
      <c r="E82" s="64">
        <f t="shared" si="43"/>
        <v>5.4156079854809436</v>
      </c>
      <c r="F82" s="65">
        <f t="shared" ref="F82:F93" si="44">A82/175*100</f>
        <v>34.285714285714285</v>
      </c>
      <c r="G82" s="64">
        <f t="shared" ref="G82:I82" si="45">G63/G4</f>
        <v>9.0476190476190474</v>
      </c>
      <c r="H82" s="64">
        <f t="shared" si="45"/>
        <v>5.8163265306122449</v>
      </c>
      <c r="I82" s="64">
        <f t="shared" si="45"/>
        <v>4.2857142857142865</v>
      </c>
      <c r="J82" s="65">
        <f t="shared" ref="J82:J96" si="46">A82/200*100</f>
        <v>30</v>
      </c>
      <c r="K82" s="64">
        <f t="shared" ref="K82:M82" si="47">K63/K4</f>
        <v>8</v>
      </c>
      <c r="L82" s="64">
        <f t="shared" si="47"/>
        <v>5.419354838709677</v>
      </c>
      <c r="M82" s="64">
        <f t="shared" si="47"/>
        <v>4.0975609756097553</v>
      </c>
    </row>
    <row r="83" spans="1:13" x14ac:dyDescent="0.75">
      <c r="A83">
        <v>70</v>
      </c>
      <c r="B83" s="65">
        <f t="shared" si="42"/>
        <v>48.275862068965516</v>
      </c>
      <c r="C83" s="64">
        <f t="shared" ref="C83:E83" si="48">C64/C5</f>
        <v>10.9944382647386</v>
      </c>
      <c r="D83" s="64">
        <f t="shared" si="48"/>
        <v>7.9262229350441062</v>
      </c>
      <c r="E83" s="64">
        <f t="shared" si="48"/>
        <v>5.8763376932223554</v>
      </c>
      <c r="F83" s="65">
        <f t="shared" si="44"/>
        <v>40</v>
      </c>
      <c r="G83" s="64">
        <f t="shared" ref="G83:I83" si="49">G64/G5</f>
        <v>9.5789473684210531</v>
      </c>
      <c r="H83" s="64">
        <f t="shared" si="49"/>
        <v>6.2758620689655169</v>
      </c>
      <c r="I83" s="64">
        <f t="shared" si="49"/>
        <v>4.6666666666666661</v>
      </c>
      <c r="J83" s="65">
        <f t="shared" si="46"/>
        <v>35</v>
      </c>
      <c r="K83" s="64">
        <f t="shared" ref="K83:M83" si="50">K64/K5</f>
        <v>8.4000000000000021</v>
      </c>
      <c r="L83" s="64">
        <f t="shared" si="50"/>
        <v>5.815384615384616</v>
      </c>
      <c r="M83" s="64">
        <f t="shared" si="50"/>
        <v>4.447058823529412</v>
      </c>
    </row>
    <row r="84" spans="1:13" x14ac:dyDescent="0.75">
      <c r="A84">
        <v>80</v>
      </c>
      <c r="B84" s="65">
        <f t="shared" si="42"/>
        <v>55.172413793103445</v>
      </c>
      <c r="C84" s="64">
        <f t="shared" ref="C84:E84" si="51">C65/C6</f>
        <v>11.134796238244512</v>
      </c>
      <c r="D84" s="64">
        <f t="shared" si="51"/>
        <v>8.1655172413793089</v>
      </c>
      <c r="E84" s="64">
        <f t="shared" si="51"/>
        <v>6.1241379310344826</v>
      </c>
      <c r="F84" s="65">
        <f t="shared" si="44"/>
        <v>45.714285714285715</v>
      </c>
      <c r="G84" s="64">
        <f t="shared" ref="G84:I84" si="52">G65/G6</f>
        <v>10.197802197802201</v>
      </c>
      <c r="H84" s="64">
        <f t="shared" si="52"/>
        <v>6.7409200968523013</v>
      </c>
      <c r="I84" s="64">
        <f t="shared" si="52"/>
        <v>5.0343580470162754</v>
      </c>
      <c r="J84" s="65">
        <f t="shared" si="46"/>
        <v>40</v>
      </c>
      <c r="K84" s="64">
        <f t="shared" ref="K84:M84" si="53">K65/K6</f>
        <v>9.2444444444444454</v>
      </c>
      <c r="L84" s="64">
        <f t="shared" si="53"/>
        <v>6.4</v>
      </c>
      <c r="M84" s="64">
        <f t="shared" si="53"/>
        <v>4.894117647058823</v>
      </c>
    </row>
    <row r="85" spans="1:13" x14ac:dyDescent="0.75">
      <c r="A85">
        <v>90</v>
      </c>
      <c r="B85" s="65">
        <f t="shared" si="42"/>
        <v>62.068965517241381</v>
      </c>
      <c r="C85" s="64">
        <f t="shared" ref="C85:E85" si="54">C66/C7</f>
        <v>10.793103448275861</v>
      </c>
      <c r="D85" s="64">
        <f t="shared" si="54"/>
        <v>8.0948275862068968</v>
      </c>
      <c r="E85" s="64">
        <f t="shared" si="54"/>
        <v>6.1674876847290632</v>
      </c>
      <c r="F85" s="65">
        <f t="shared" si="44"/>
        <v>51.428571428571423</v>
      </c>
      <c r="G85" s="64">
        <f t="shared" ref="G85:I85" si="55">G66/G7</f>
        <v>10.411149825783971</v>
      </c>
      <c r="H85" s="64">
        <f t="shared" si="55"/>
        <v>6.9976580796252916</v>
      </c>
      <c r="I85" s="64">
        <f t="shared" si="55"/>
        <v>5.2698412698412689</v>
      </c>
      <c r="J85" s="65">
        <f t="shared" si="46"/>
        <v>45</v>
      </c>
      <c r="K85" s="64">
        <f t="shared" ref="K85:M85" si="56">K66/K7</f>
        <v>9.3750000000000018</v>
      </c>
      <c r="L85" s="64">
        <f t="shared" si="56"/>
        <v>6.6176470588235299</v>
      </c>
      <c r="M85" s="64">
        <f t="shared" si="56"/>
        <v>5.1136363636363642</v>
      </c>
    </row>
    <row r="86" spans="1:13" x14ac:dyDescent="0.75">
      <c r="A86">
        <v>100</v>
      </c>
      <c r="B86" s="65">
        <f t="shared" si="42"/>
        <v>68.965517241379317</v>
      </c>
      <c r="C86" s="64">
        <f t="shared" ref="C86:E86" si="57">C67/C8</f>
        <v>10.635208711433755</v>
      </c>
      <c r="D86" s="64">
        <f t="shared" si="57"/>
        <v>8.0827586206896544</v>
      </c>
      <c r="E86" s="64">
        <f t="shared" si="57"/>
        <v>6.2175066312997336</v>
      </c>
      <c r="F86" s="65">
        <f t="shared" si="44"/>
        <v>57.142857142857139</v>
      </c>
      <c r="G86" s="64">
        <f t="shared" ref="G86:I86" si="58">G67/G8</f>
        <v>10.498338870431896</v>
      </c>
      <c r="H86" s="64">
        <f t="shared" si="58"/>
        <v>7.1655328798185955</v>
      </c>
      <c r="I86" s="64">
        <f t="shared" si="58"/>
        <v>5.4388984509466445</v>
      </c>
      <c r="J86" s="65">
        <f t="shared" si="46"/>
        <v>50</v>
      </c>
      <c r="K86" s="64">
        <f t="shared" ref="K86:M86" si="59">K67/K8</f>
        <v>9.6000000000000014</v>
      </c>
      <c r="L86" s="64">
        <f t="shared" si="59"/>
        <v>6.8571428571428577</v>
      </c>
      <c r="M86" s="64">
        <f t="shared" si="59"/>
        <v>5.3333333333333339</v>
      </c>
    </row>
    <row r="87" spans="1:13" x14ac:dyDescent="0.75">
      <c r="A87">
        <v>110</v>
      </c>
      <c r="B87" s="65">
        <f t="shared" si="42"/>
        <v>75.862068965517238</v>
      </c>
      <c r="C87" s="64">
        <f t="shared" ref="C87:E87" si="60">C68/C9</f>
        <v>10.900181488203266</v>
      </c>
      <c r="D87" s="64">
        <f t="shared" si="60"/>
        <v>8.2841379310344827</v>
      </c>
      <c r="E87" s="64">
        <f t="shared" si="60"/>
        <v>6.3724137931034477</v>
      </c>
      <c r="F87" s="65">
        <f t="shared" si="44"/>
        <v>62.857142857142854</v>
      </c>
      <c r="G87" s="64">
        <f t="shared" ref="G87:I87" si="61">G68/G9</f>
        <v>10.476190476190476</v>
      </c>
      <c r="H87" s="64">
        <f t="shared" si="61"/>
        <v>7.2527472527472527</v>
      </c>
      <c r="I87" s="64">
        <f t="shared" si="61"/>
        <v>5.5462184873949578</v>
      </c>
      <c r="J87" s="65">
        <f t="shared" si="46"/>
        <v>55.000000000000007</v>
      </c>
      <c r="K87" s="64">
        <f t="shared" ref="K87:M87" si="62">K68/K9</f>
        <v>9.3703703703703702</v>
      </c>
      <c r="L87" s="64">
        <f t="shared" si="62"/>
        <v>6.8378378378378386</v>
      </c>
      <c r="M87" s="64">
        <f t="shared" si="62"/>
        <v>5.3829787234042561</v>
      </c>
    </row>
    <row r="88" spans="1:13" x14ac:dyDescent="0.75">
      <c r="A88">
        <v>120</v>
      </c>
      <c r="B88" s="65">
        <f t="shared" si="42"/>
        <v>82.758620689655174</v>
      </c>
      <c r="C88" s="64">
        <f t="shared" ref="C88:E88" si="63">C69/C10</f>
        <v>11.632183908045976</v>
      </c>
      <c r="D88" s="64">
        <f t="shared" si="63"/>
        <v>8.7241379310344822</v>
      </c>
      <c r="E88" s="64">
        <f t="shared" si="63"/>
        <v>6.6469622331691287</v>
      </c>
      <c r="F88" s="65">
        <f t="shared" si="44"/>
        <v>68.571428571428569</v>
      </c>
      <c r="G88" s="64">
        <f t="shared" ref="G88:I88" si="64">G69/G10</f>
        <v>10.819047619047618</v>
      </c>
      <c r="H88" s="64">
        <f t="shared" si="64"/>
        <v>7.4901098901098893</v>
      </c>
      <c r="I88" s="64">
        <f t="shared" si="64"/>
        <v>5.727731092436974</v>
      </c>
      <c r="J88" s="65">
        <f t="shared" si="46"/>
        <v>60</v>
      </c>
      <c r="K88" s="64">
        <f t="shared" ref="K88:M88" si="65">K69/K10</f>
        <v>9.6</v>
      </c>
      <c r="L88" s="64">
        <f t="shared" si="65"/>
        <v>7.04</v>
      </c>
      <c r="M88" s="64">
        <f t="shared" si="65"/>
        <v>5.5578947368421057</v>
      </c>
    </row>
    <row r="89" spans="1:13" x14ac:dyDescent="0.75">
      <c r="A89">
        <v>130</v>
      </c>
      <c r="B89" s="65">
        <f t="shared" si="42"/>
        <v>89.65517241379311</v>
      </c>
      <c r="C89" s="64">
        <f t="shared" ref="C89:E89" si="66">C70/C11</f>
        <v>13.926436781609198</v>
      </c>
      <c r="D89" s="64">
        <f t="shared" si="66"/>
        <v>9.94745484400657</v>
      </c>
      <c r="E89" s="64">
        <f t="shared" si="66"/>
        <v>7.3297035692679984</v>
      </c>
      <c r="F89" s="65">
        <f t="shared" si="44"/>
        <v>74.285714285714292</v>
      </c>
      <c r="G89" s="64">
        <f t="shared" ref="G89:I89" si="67">G70/G11</f>
        <v>11.311688311688311</v>
      </c>
      <c r="H89" s="64">
        <f t="shared" si="67"/>
        <v>7.7767857142857135</v>
      </c>
      <c r="I89" s="64">
        <f t="shared" si="67"/>
        <v>5.9251700680272101</v>
      </c>
      <c r="J89" s="65">
        <f t="shared" si="46"/>
        <v>65</v>
      </c>
      <c r="K89" s="64">
        <f t="shared" ref="K89:M89" si="68">K70/K11</f>
        <v>9.4137931034482722</v>
      </c>
      <c r="L89" s="64">
        <f t="shared" si="68"/>
        <v>6.9999999999999982</v>
      </c>
      <c r="M89" s="64">
        <f t="shared" si="68"/>
        <v>5.5714285714285703</v>
      </c>
    </row>
    <row r="90" spans="1:13" x14ac:dyDescent="0.75">
      <c r="A90">
        <v>140</v>
      </c>
      <c r="B90" s="65">
        <f t="shared" si="42"/>
        <v>96.551724137931032</v>
      </c>
      <c r="C90" s="64">
        <f t="shared" ref="C90:E90" si="69">C71/C12</f>
        <v>17.883058470764617</v>
      </c>
      <c r="D90" s="64">
        <f t="shared" si="69"/>
        <v>11.751724137931033</v>
      </c>
      <c r="E90" s="64">
        <f t="shared" si="69"/>
        <v>8.226206896551723</v>
      </c>
      <c r="F90" s="65">
        <f t="shared" si="44"/>
        <v>80</v>
      </c>
      <c r="G90" s="64">
        <f t="shared" ref="G90:I90" si="70">G71/G12</f>
        <v>11.720930232558137</v>
      </c>
      <c r="H90" s="64">
        <f t="shared" si="70"/>
        <v>7.9999999999999982</v>
      </c>
      <c r="I90" s="64">
        <f t="shared" si="70"/>
        <v>6.0722891566265043</v>
      </c>
      <c r="J90" s="65">
        <f t="shared" si="46"/>
        <v>70</v>
      </c>
      <c r="K90" s="64">
        <f t="shared" ref="K90:M90" si="71">K71/K12</f>
        <v>9.3333333333333321</v>
      </c>
      <c r="L90" s="64">
        <f t="shared" si="71"/>
        <v>7</v>
      </c>
      <c r="M90" s="64">
        <f t="shared" si="71"/>
        <v>5.6000000000000005</v>
      </c>
    </row>
    <row r="91" spans="1:13" x14ac:dyDescent="0.75">
      <c r="A91">
        <v>150</v>
      </c>
      <c r="B91" s="64"/>
      <c r="C91" s="64"/>
      <c r="D91" s="64"/>
      <c r="E91" s="64"/>
      <c r="F91" s="65">
        <f t="shared" si="44"/>
        <v>85.714285714285708</v>
      </c>
      <c r="G91" s="64">
        <f t="shared" ref="G91:I91" si="72">G72/G13</f>
        <v>12.040816326530614</v>
      </c>
      <c r="H91" s="64">
        <f t="shared" si="72"/>
        <v>8.1566820276497705</v>
      </c>
      <c r="I91" s="64">
        <f t="shared" si="72"/>
        <v>6.1672473867595823</v>
      </c>
      <c r="J91" s="65">
        <f t="shared" si="46"/>
        <v>75</v>
      </c>
      <c r="K91" s="64">
        <f t="shared" ref="K91:M91" si="73">K72/K13</f>
        <v>9.4999999999999982</v>
      </c>
      <c r="L91" s="64">
        <f t="shared" si="73"/>
        <v>7.125</v>
      </c>
      <c r="M91" s="64">
        <f t="shared" si="73"/>
        <v>5.7</v>
      </c>
    </row>
    <row r="92" spans="1:13" x14ac:dyDescent="0.75">
      <c r="A92">
        <v>160</v>
      </c>
      <c r="B92" s="64"/>
      <c r="C92" s="64"/>
      <c r="D92" s="64"/>
      <c r="E92" s="64"/>
      <c r="F92" s="65">
        <f t="shared" si="44"/>
        <v>91.428571428571431</v>
      </c>
      <c r="G92" s="64">
        <f t="shared" ref="G92:I92" si="74">G73/G14</f>
        <v>12.571428571428575</v>
      </c>
      <c r="H92" s="64">
        <f t="shared" si="74"/>
        <v>8.3809523809523832</v>
      </c>
      <c r="I92" s="64">
        <f t="shared" si="74"/>
        <v>6.2857142857142865</v>
      </c>
      <c r="J92" s="65">
        <f t="shared" si="46"/>
        <v>80</v>
      </c>
      <c r="K92" s="64">
        <f t="shared" ref="K92:M92" si="75">K73/K14</f>
        <v>9.9310344827586192</v>
      </c>
      <c r="L92" s="64">
        <f t="shared" si="75"/>
        <v>7.3846153846153841</v>
      </c>
      <c r="M92" s="64">
        <f t="shared" si="75"/>
        <v>5.8775510204081636</v>
      </c>
    </row>
    <row r="93" spans="1:13" x14ac:dyDescent="0.75">
      <c r="A93">
        <v>170</v>
      </c>
      <c r="B93" s="64"/>
      <c r="C93" s="64"/>
      <c r="D93" s="64"/>
      <c r="E93" s="64"/>
      <c r="F93" s="65">
        <f t="shared" si="44"/>
        <v>97.142857142857139</v>
      </c>
      <c r="G93" s="64">
        <f t="shared" ref="G93:I93" si="76">G74/G15</f>
        <v>16.514285714285712</v>
      </c>
      <c r="H93" s="64">
        <f t="shared" si="76"/>
        <v>9.9085714285714275</v>
      </c>
      <c r="I93" s="64">
        <f t="shared" si="76"/>
        <v>7.0775510204081629</v>
      </c>
      <c r="J93" s="65">
        <f t="shared" si="46"/>
        <v>85</v>
      </c>
      <c r="K93" s="64">
        <f t="shared" ref="K93:M93" si="77">K74/K15</f>
        <v>11.115384615384615</v>
      </c>
      <c r="L93" s="64">
        <f t="shared" si="77"/>
        <v>8.0277777777777786</v>
      </c>
      <c r="M93" s="64">
        <f t="shared" si="77"/>
        <v>6.2826086956521747</v>
      </c>
    </row>
    <row r="94" spans="1:13" x14ac:dyDescent="0.75">
      <c r="A94">
        <v>180</v>
      </c>
      <c r="B94" s="64"/>
      <c r="C94" s="64"/>
      <c r="D94" s="64"/>
      <c r="E94" s="64"/>
      <c r="F94" s="64"/>
      <c r="G94" s="64"/>
      <c r="H94" s="64"/>
      <c r="I94" s="64"/>
      <c r="J94" s="65">
        <f t="shared" si="46"/>
        <v>90</v>
      </c>
      <c r="K94" s="64">
        <f t="shared" ref="K94:M94" si="78">K75/K16</f>
        <v>11.999999999999998</v>
      </c>
      <c r="L94" s="64">
        <f t="shared" si="78"/>
        <v>8.470588235294116</v>
      </c>
      <c r="M94" s="64">
        <f t="shared" si="78"/>
        <v>6.5454545454545441</v>
      </c>
    </row>
    <row r="95" spans="1:13" x14ac:dyDescent="0.75">
      <c r="A95">
        <v>190</v>
      </c>
      <c r="B95" s="64"/>
      <c r="C95" s="64"/>
      <c r="D95" s="64"/>
      <c r="E95" s="64"/>
      <c r="F95" s="64"/>
      <c r="G95" s="64"/>
      <c r="H95" s="64"/>
      <c r="I95" s="64"/>
      <c r="J95" s="65">
        <f t="shared" si="46"/>
        <v>95</v>
      </c>
      <c r="K95" s="64">
        <f t="shared" ref="K95:M95" si="79">K76/K17</f>
        <v>13.571428571428573</v>
      </c>
      <c r="L95" s="64">
        <f t="shared" si="79"/>
        <v>9.193548387096774</v>
      </c>
      <c r="M95" s="64">
        <f t="shared" si="79"/>
        <v>6.9512195121951219</v>
      </c>
    </row>
    <row r="96" spans="1:13" x14ac:dyDescent="0.75">
      <c r="A96">
        <v>200</v>
      </c>
      <c r="B96" s="64"/>
      <c r="C96" s="64"/>
      <c r="D96" s="64"/>
      <c r="E96" s="64"/>
      <c r="F96" s="64"/>
      <c r="G96" s="64"/>
      <c r="H96" s="64"/>
      <c r="I96" s="64"/>
      <c r="J96" s="65">
        <f t="shared" si="46"/>
        <v>100</v>
      </c>
      <c r="K96" s="64">
        <f t="shared" ref="K96:M96" si="80">K77/K18</f>
        <v>16.066285714285716</v>
      </c>
      <c r="L96" s="64">
        <f t="shared" si="80"/>
        <v>10.224</v>
      </c>
      <c r="M96" s="64">
        <f t="shared" si="80"/>
        <v>7.4976000000000012</v>
      </c>
    </row>
  </sheetData>
  <mergeCells count="15">
    <mergeCell ref="B60:E60"/>
    <mergeCell ref="F60:I60"/>
    <mergeCell ref="J60:M60"/>
    <mergeCell ref="B79:E79"/>
    <mergeCell ref="F79:I79"/>
    <mergeCell ref="J79:M79"/>
    <mergeCell ref="F1:I1"/>
    <mergeCell ref="J1:M1"/>
    <mergeCell ref="B41:E41"/>
    <mergeCell ref="F41:I41"/>
    <mergeCell ref="J41:M41"/>
    <mergeCell ref="B21:E21"/>
    <mergeCell ref="F21:I21"/>
    <mergeCell ref="J21:M21"/>
    <mergeCell ref="B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Finishing</vt:lpstr>
      <vt:lpstr>ADG_FG templates</vt:lpstr>
      <vt:lpstr>Profit</vt:lpstr>
      <vt:lpstr>Comparisons</vt:lpstr>
      <vt:lpstr>Comparison_calc</vt:lpstr>
      <vt:lpstr>ADG_FG 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Richard Ehrhardt</cp:lastModifiedBy>
  <cp:lastPrinted>2018-04-08T19:22:06Z</cp:lastPrinted>
  <dcterms:created xsi:type="dcterms:W3CDTF">2018-01-30T15:36:59Z</dcterms:created>
  <dcterms:modified xsi:type="dcterms:W3CDTF">2018-04-13T18:53:27Z</dcterms:modified>
</cp:coreProperties>
</file>